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604" yWindow="-12" windowWidth="11448" windowHeight="9696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X7" i="1" l="1"/>
  <c r="X10" i="1"/>
  <c r="X9" i="1"/>
  <c r="X8" i="1"/>
  <c r="Q8" i="1"/>
  <c r="Q9" i="1"/>
  <c r="Q10" i="1"/>
  <c r="Q7" i="1"/>
  <c r="D8" i="1"/>
  <c r="D9" i="1"/>
  <c r="D10" i="1"/>
  <c r="D7" i="1"/>
  <c r="C7" i="2" l="1"/>
  <c r="C8" i="2"/>
  <c r="C9" i="2"/>
  <c r="C10" i="2"/>
  <c r="C6" i="2"/>
  <c r="F4" i="2"/>
  <c r="E4" i="2"/>
  <c r="D4" i="2"/>
  <c r="C4" i="2"/>
  <c r="W10" i="1" l="1"/>
  <c r="Z10" i="1" s="1"/>
  <c r="AA10" i="1" s="1"/>
  <c r="W9" i="1"/>
  <c r="Z9" i="1" s="1"/>
  <c r="AA9" i="1" s="1"/>
  <c r="W8" i="1"/>
  <c r="Z8" i="1" s="1"/>
  <c r="AA8" i="1" s="1"/>
  <c r="W7" i="1"/>
  <c r="Z7" i="1" s="1"/>
  <c r="AA7" i="1" s="1"/>
  <c r="M7" i="1"/>
  <c r="M8" i="1"/>
  <c r="L7" i="1"/>
  <c r="K7" i="1"/>
  <c r="S7" i="1" s="1"/>
  <c r="T7" i="1" s="1"/>
  <c r="M10" i="1"/>
  <c r="L9" i="1"/>
  <c r="C24" i="1"/>
  <c r="D32" i="1" s="1"/>
  <c r="K10" i="1"/>
  <c r="S10" i="1" s="1"/>
  <c r="T10" i="1" s="1"/>
  <c r="M9" i="1"/>
  <c r="K9" i="1"/>
  <c r="S9" i="1" s="1"/>
  <c r="T9" i="1" s="1"/>
  <c r="L8" i="1"/>
  <c r="K8" i="1"/>
  <c r="S8" i="1" s="1"/>
  <c r="T8" i="1" s="1"/>
  <c r="N7" i="1" l="1"/>
  <c r="O7" i="1" s="1"/>
  <c r="P7" i="1" s="1"/>
  <c r="E29" i="1"/>
  <c r="D31" i="1"/>
  <c r="E32" i="1"/>
  <c r="E31" i="1"/>
  <c r="E30" i="1"/>
  <c r="N8" i="1"/>
  <c r="O8" i="1" s="1"/>
  <c r="P8" i="1" s="1"/>
  <c r="L10" i="1"/>
  <c r="N10" i="1" s="1"/>
  <c r="O10" i="1" s="1"/>
  <c r="P10" i="1" s="1"/>
  <c r="D30" i="1"/>
  <c r="D29" i="1"/>
  <c r="N9" i="1"/>
  <c r="O9" i="1" s="1"/>
  <c r="P9" i="1" s="1"/>
  <c r="C8" i="1" l="1"/>
  <c r="C9" i="1"/>
  <c r="C10" i="1"/>
  <c r="C7" i="1"/>
  <c r="AK7" i="1"/>
  <c r="AJ7" i="1"/>
  <c r="AK9" i="1"/>
  <c r="AK10" i="1"/>
  <c r="AK8" i="1"/>
  <c r="AJ10" i="1"/>
  <c r="AJ8" i="1"/>
  <c r="AJ9" i="1"/>
  <c r="AF9" i="1" l="1"/>
  <c r="AG9" i="1" s="1"/>
  <c r="AH9" i="1" s="1"/>
  <c r="AF7" i="1"/>
  <c r="AG7" i="1" s="1"/>
  <c r="AH7" i="1" s="1"/>
  <c r="AF10" i="1"/>
  <c r="AG10" i="1" s="1"/>
  <c r="AH10" i="1" s="1"/>
  <c r="F10" i="1"/>
  <c r="G10" i="1" s="1"/>
  <c r="F9" i="1"/>
  <c r="G9" i="1" s="1"/>
  <c r="AF8" i="1"/>
  <c r="F7" i="1"/>
  <c r="G7" i="1" s="1"/>
  <c r="F8" i="1"/>
  <c r="G8" i="1" s="1"/>
  <c r="AG8" i="1" l="1"/>
  <c r="AH8" i="1" s="1"/>
</calcChain>
</file>

<file path=xl/sharedStrings.xml><?xml version="1.0" encoding="utf-8"?>
<sst xmlns="http://schemas.openxmlformats.org/spreadsheetml/2006/main" count="93" uniqueCount="46">
  <si>
    <t>q (gpm)</t>
  </si>
  <si>
    <t>H</t>
  </si>
  <si>
    <t>H (ft)</t>
  </si>
  <si>
    <t>H (in PSI)</t>
  </si>
  <si>
    <t>P1</t>
  </si>
  <si>
    <t>8" flow vel</t>
  </si>
  <si>
    <t>ft/sec</t>
  </si>
  <si>
    <t>dp</t>
  </si>
  <si>
    <t>psi</t>
  </si>
  <si>
    <t>P2</t>
  </si>
  <si>
    <t>Psi</t>
  </si>
  <si>
    <t>ft</t>
  </si>
  <si>
    <t>H (new)</t>
  </si>
  <si>
    <t>6" flow vel.</t>
  </si>
  <si>
    <t>dP</t>
  </si>
  <si>
    <t>head measured at discharge 8"</t>
  </si>
  <si>
    <t>V2</t>
  </si>
  <si>
    <t>V1</t>
  </si>
  <si>
    <t>H new</t>
  </si>
  <si>
    <t>pressure change due to velocity change</t>
  </si>
  <si>
    <t>Target Velocity</t>
  </si>
  <si>
    <t>fps (for 200g salmon transfer)</t>
  </si>
  <si>
    <t>pressure drop in reducer</t>
  </si>
  <si>
    <t>d1</t>
  </si>
  <si>
    <t>d2</t>
  </si>
  <si>
    <t>g</t>
  </si>
  <si>
    <t>ft/sec2</t>
  </si>
  <si>
    <t>density</t>
  </si>
  <si>
    <t>lb/ft3</t>
  </si>
  <si>
    <t>Dp</t>
  </si>
  <si>
    <t>H1</t>
  </si>
  <si>
    <t>Q1</t>
  </si>
  <si>
    <t>N1</t>
  </si>
  <si>
    <t>N2</t>
  </si>
  <si>
    <t>Ratio</t>
  </si>
  <si>
    <t>Q2</t>
  </si>
  <si>
    <t>H2</t>
  </si>
  <si>
    <t>8" inlet and outlet N=400</t>
  </si>
  <si>
    <t>0.000001217x2 + 0.000481187x - 0.019595242</t>
  </si>
  <si>
    <t>Affinity Law</t>
  </si>
  <si>
    <t>measured values</t>
  </si>
  <si>
    <t>pressure drop (6" pipe 34 ft Length)</t>
  </si>
  <si>
    <t>pressure drop  (6" pipe 34 ft Length)</t>
  </si>
  <si>
    <t xml:space="preserve">Pressure change </t>
  </si>
  <si>
    <t>8" inlet and outlet using affinity law N=430</t>
  </si>
  <si>
    <t>8" inlet and outlet using affinity law N=440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</si>
</sst>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2" fontId="0" fillId="0" borderId="0" xfId="0" applyNumberFormat="1"/>
    <xf numFmtId="0" fontId="0" fillId="2" borderId="1" xfId="0" applyFill="1" applyBorder="1"/>
    <xf numFmtId="0" fontId="0" fillId="0" borderId="1" xfId="0" applyBorder="1"/>
    <xf numFmtId="2" fontId="0" fillId="0" borderId="1" xfId="0" applyNumberFormat="1" applyBorder="1"/>
    <xf numFmtId="0" fontId="0" fillId="0" borderId="5" xfId="0" applyBorder="1"/>
    <xf numFmtId="0" fontId="0" fillId="0" borderId="6" xfId="0" applyBorder="1"/>
    <xf numFmtId="2" fontId="0" fillId="0" borderId="8" xfId="0" applyNumberFormat="1" applyBorder="1"/>
    <xf numFmtId="0" fontId="0" fillId="0" borderId="2" xfId="0" applyBorder="1"/>
    <xf numFmtId="0" fontId="0" fillId="0" borderId="4" xfId="0" applyBorder="1"/>
    <xf numFmtId="2" fontId="0" fillId="0" borderId="5" xfId="0" applyNumberFormat="1" applyBorder="1"/>
    <xf numFmtId="2" fontId="0" fillId="0" borderId="7" xfId="0" applyNumberFormat="1" applyBorder="1"/>
    <xf numFmtId="0" fontId="0" fillId="2" borderId="5" xfId="0" applyFill="1" applyBorder="1"/>
    <xf numFmtId="2" fontId="0" fillId="0" borderId="6" xfId="0" applyNumberFormat="1" applyBorder="1"/>
    <xf numFmtId="0" fontId="0" fillId="2" borderId="7" xfId="0" applyFill="1" applyBorder="1"/>
    <xf numFmtId="0" fontId="0" fillId="2" borderId="8" xfId="0" applyFill="1" applyBorder="1"/>
    <xf numFmtId="2" fontId="0" fillId="0" borderId="9" xfId="0" applyNumberFormat="1" applyBorder="1"/>
    <xf numFmtId="0" fontId="0" fillId="0" borderId="12" xfId="0" applyBorder="1"/>
    <xf numFmtId="0" fontId="0" fillId="2" borderId="0" xfId="0" applyFill="1" applyBorder="1"/>
    <xf numFmtId="0" fontId="0" fillId="0" borderId="0" xfId="0" applyNumberFormat="1"/>
    <xf numFmtId="0" fontId="0" fillId="0" borderId="3" xfId="0" applyBorder="1" applyAlignment="1">
      <alignment horizontal="center"/>
    </xf>
    <xf numFmtId="4" fontId="0" fillId="0" borderId="1" xfId="0" applyNumberFormat="1" applyBorder="1"/>
    <xf numFmtId="4" fontId="0" fillId="0" borderId="8" xfId="0" applyNumberFormat="1" applyBorder="1"/>
    <xf numFmtId="0" fontId="0" fillId="3" borderId="0" xfId="0" applyFill="1"/>
    <xf numFmtId="0" fontId="0" fillId="2" borderId="0" xfId="0" applyFill="1"/>
    <xf numFmtId="0" fontId="0" fillId="0" borderId="12" xfId="0" applyBorder="1" applyAlignment="1"/>
    <xf numFmtId="0" fontId="0" fillId="0" borderId="10" xfId="0" applyBorder="1" applyAlignment="1"/>
    <xf numFmtId="2" fontId="0" fillId="2" borderId="1" xfId="0" applyNumberFormat="1" applyFill="1" applyBorder="1"/>
    <xf numFmtId="2" fontId="0" fillId="2" borderId="8" xfId="0" applyNumberFormat="1" applyFill="1" applyBorder="1"/>
    <xf numFmtId="1" fontId="0" fillId="2" borderId="5" xfId="0" applyNumberFormat="1" applyFill="1" applyBorder="1"/>
    <xf numFmtId="1" fontId="0" fillId="2" borderId="7" xfId="0" applyNumberFormat="1" applyFill="1" applyBorder="1"/>
    <xf numFmtId="0" fontId="0" fillId="0" borderId="8" xfId="0" applyBorder="1"/>
    <xf numFmtId="0" fontId="0" fillId="0" borderId="3" xfId="0" applyBorder="1"/>
    <xf numFmtId="4" fontId="0" fillId="3" borderId="12" xfId="0" applyNumberFormat="1" applyFill="1" applyBorder="1"/>
    <xf numFmtId="4" fontId="0" fillId="3" borderId="14" xfId="0" applyNumberFormat="1" applyFill="1" applyBorder="1"/>
    <xf numFmtId="4" fontId="0" fillId="3" borderId="6" xfId="0" applyNumberFormat="1" applyFill="1" applyBorder="1"/>
    <xf numFmtId="4" fontId="0" fillId="3" borderId="9" xfId="0" applyNumberFormat="1" applyFill="1" applyBorder="1"/>
    <xf numFmtId="2" fontId="0" fillId="3" borderId="6" xfId="0" applyNumberFormat="1" applyFill="1" applyBorder="1"/>
    <xf numFmtId="2" fontId="0" fillId="3" borderId="9" xfId="0" applyNumberFormat="1" applyFill="1" applyBorder="1"/>
    <xf numFmtId="0" fontId="0" fillId="4" borderId="3" xfId="0" applyFill="1" applyBorder="1" applyAlignment="1">
      <alignment horizontal="center"/>
    </xf>
    <xf numFmtId="0" fontId="0" fillId="4" borderId="1" xfId="0" applyFill="1" applyBorder="1"/>
    <xf numFmtId="2" fontId="0" fillId="4" borderId="1" xfId="0" applyNumberFormat="1" applyFill="1" applyBorder="1"/>
    <xf numFmtId="0" fontId="0" fillId="5" borderId="11" xfId="0" applyFont="1" applyFill="1" applyBorder="1" applyAlignment="1">
      <alignment wrapText="1"/>
    </xf>
    <xf numFmtId="0" fontId="0" fillId="5" borderId="15" xfId="0" applyFill="1" applyBorder="1"/>
    <xf numFmtId="2" fontId="0" fillId="5" borderId="15" xfId="0" applyNumberFormat="1" applyFill="1" applyBorder="1"/>
    <xf numFmtId="2" fontId="0" fillId="5" borderId="16" xfId="0" applyNumberFormat="1" applyFill="1" applyBorder="1"/>
    <xf numFmtId="2" fontId="0" fillId="4" borderId="8" xfId="0" applyNumberFormat="1" applyFill="1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1" fontId="0" fillId="0" borderId="1" xfId="0" applyNumberFormat="1" applyBorder="1"/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 wrapText="1"/>
    </xf>
    <xf numFmtId="1" fontId="0" fillId="2" borderId="1" xfId="0" applyNumberFormat="1" applyFill="1" applyBorder="1"/>
    <xf numFmtId="1" fontId="0" fillId="2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8"</c:v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Sheet1!$A$7:$A$10</c:f>
              <c:numCache>
                <c:formatCode>General</c:formatCode>
                <c:ptCount val="4"/>
                <c:pt idx="0">
                  <c:v>300</c:v>
                </c:pt>
                <c:pt idx="1">
                  <c:v>400</c:v>
                </c:pt>
                <c:pt idx="2">
                  <c:v>430</c:v>
                </c:pt>
                <c:pt idx="3">
                  <c:v>500</c:v>
                </c:pt>
              </c:numCache>
            </c:numRef>
          </c:xVal>
          <c:yVal>
            <c:numRef>
              <c:f>Sheet1!$B$7:$B$10</c:f>
              <c:numCache>
                <c:formatCode>General</c:formatCode>
                <c:ptCount val="4"/>
                <c:pt idx="0">
                  <c:v>31</c:v>
                </c:pt>
                <c:pt idx="1">
                  <c:v>30.2</c:v>
                </c:pt>
                <c:pt idx="2">
                  <c:v>30</c:v>
                </c:pt>
                <c:pt idx="3">
                  <c:v>29.5</c:v>
                </c:pt>
              </c:numCache>
            </c:numRef>
          </c:yVal>
          <c:smooth val="0"/>
        </c:ser>
        <c:ser>
          <c:idx val="1"/>
          <c:order val="1"/>
          <c:tx>
            <c:v>6" pipe losses</c:v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Sheet1!$A$7:$A$10</c:f>
              <c:numCache>
                <c:formatCode>General</c:formatCode>
                <c:ptCount val="4"/>
                <c:pt idx="0">
                  <c:v>300</c:v>
                </c:pt>
                <c:pt idx="1">
                  <c:v>400</c:v>
                </c:pt>
                <c:pt idx="2">
                  <c:v>430</c:v>
                </c:pt>
                <c:pt idx="3">
                  <c:v>500</c:v>
                </c:pt>
              </c:numCache>
            </c:numRef>
          </c:xVal>
          <c:yVal>
            <c:numRef>
              <c:f>Sheet1!$G$7:$G$10</c:f>
              <c:numCache>
                <c:formatCode>#,##0.00</c:formatCode>
                <c:ptCount val="4"/>
                <c:pt idx="0">
                  <c:v>30.400921658986178</c:v>
                </c:pt>
                <c:pt idx="1">
                  <c:v>29.140092165898615</c:v>
                </c:pt>
                <c:pt idx="2">
                  <c:v>28.778801843317972</c:v>
                </c:pt>
                <c:pt idx="3">
                  <c:v>27.864055299539171</c:v>
                </c:pt>
              </c:numCache>
            </c:numRef>
          </c:yVal>
          <c:smooth val="0"/>
        </c:ser>
        <c:ser>
          <c:idx val="2"/>
          <c:order val="2"/>
          <c:tx>
            <c:v>new flow @430 rpm</c:v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Sheet1!$I$7:$I$10</c:f>
              <c:numCache>
                <c:formatCode>0</c:formatCode>
                <c:ptCount val="4"/>
                <c:pt idx="0">
                  <c:v>322.5</c:v>
                </c:pt>
                <c:pt idx="1">
                  <c:v>430</c:v>
                </c:pt>
                <c:pt idx="2">
                  <c:v>462.25</c:v>
                </c:pt>
                <c:pt idx="3">
                  <c:v>537.5</c:v>
                </c:pt>
              </c:numCache>
            </c:numRef>
          </c:xVal>
          <c:yVal>
            <c:numRef>
              <c:f>Sheet1!$T$7:$T$10</c:f>
              <c:numCache>
                <c:formatCode>#,##0.00</c:formatCode>
                <c:ptCount val="4"/>
                <c:pt idx="0">
                  <c:v>35.110089285714288</c:v>
                </c:pt>
                <c:pt idx="1">
                  <c:v>33.655635368663603</c:v>
                </c:pt>
                <c:pt idx="2">
                  <c:v>33.263220046082957</c:v>
                </c:pt>
                <c:pt idx="3">
                  <c:v>32.201536578341013</c:v>
                </c:pt>
              </c:numCache>
            </c:numRef>
          </c:yVal>
          <c:smooth val="0"/>
        </c:ser>
        <c:ser>
          <c:idx val="3"/>
          <c:order val="3"/>
          <c:tx>
            <c:v>new flow @440 rpm</c:v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Sheet1!$U$7:$U$9</c:f>
              <c:numCache>
                <c:formatCode>0</c:formatCode>
                <c:ptCount val="3"/>
                <c:pt idx="0">
                  <c:v>330</c:v>
                </c:pt>
                <c:pt idx="1">
                  <c:v>440</c:v>
                </c:pt>
                <c:pt idx="2">
                  <c:v>473</c:v>
                </c:pt>
              </c:numCache>
            </c:numRef>
          </c:xVal>
          <c:yVal>
            <c:numRef>
              <c:f>Sheet1!$AA$7:$AA$10</c:f>
              <c:numCache>
                <c:formatCode>0.00</c:formatCode>
                <c:ptCount val="4"/>
                <c:pt idx="0">
                  <c:v>36.772672811059913</c:v>
                </c:pt>
                <c:pt idx="1">
                  <c:v>35.251677419354834</c:v>
                </c:pt>
                <c:pt idx="2">
                  <c:v>34.825345622119819</c:v>
                </c:pt>
                <c:pt idx="3">
                  <c:v>33.713433179723502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553344"/>
        <c:axId val="115113344"/>
      </c:scatterChart>
      <c:valAx>
        <c:axId val="11255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Flow rate in GPM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5113344"/>
        <c:crosses val="autoZero"/>
        <c:crossBetween val="midCat"/>
      </c:valAx>
      <c:valAx>
        <c:axId val="115113344"/>
        <c:scaling>
          <c:orientation val="minMax"/>
          <c:max val="38"/>
          <c:min val="24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Head in ft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2553344"/>
        <c:crosses val="autoZero"/>
        <c:crossBetween val="midCat"/>
        <c:majorUnit val="2"/>
      </c:valAx>
    </c:plotArea>
    <c:legend>
      <c:legendPos val="r"/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60960</xdr:colOff>
      <xdr:row>12</xdr:row>
      <xdr:rowOff>7620</xdr:rowOff>
    </xdr:from>
    <xdr:to>
      <xdr:col>26</xdr:col>
      <xdr:colOff>153071</xdr:colOff>
      <xdr:row>40</xdr:row>
      <xdr:rowOff>84271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6740" y="2743200"/>
          <a:ext cx="7742591" cy="5197291"/>
        </a:xfrm>
        <a:prstGeom prst="rect">
          <a:avLst/>
        </a:prstGeom>
      </xdr:spPr>
    </xdr:pic>
    <xdr:clientData/>
  </xdr:twoCellAnchor>
  <xdr:twoCellAnchor>
    <xdr:from>
      <xdr:col>28</xdr:col>
      <xdr:colOff>175260</xdr:colOff>
      <xdr:row>21</xdr:row>
      <xdr:rowOff>45720</xdr:rowOff>
    </xdr:from>
    <xdr:to>
      <xdr:col>36</xdr:col>
      <xdr:colOff>0</xdr:colOff>
      <xdr:row>36</xdr:row>
      <xdr:rowOff>45720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"/>
  <sheetViews>
    <sheetView tabSelected="1" zoomScaleNormal="100" workbookViewId="0">
      <selection activeCell="AF41" sqref="AF41"/>
    </sheetView>
  </sheetViews>
  <sheetFormatPr defaultRowHeight="14.4" x14ac:dyDescent="0.3"/>
  <cols>
    <col min="1" max="1" width="13.33203125" bestFit="1" customWidth="1"/>
    <col min="2" max="2" width="7.33203125" customWidth="1"/>
    <col min="3" max="3" width="9" customWidth="1"/>
    <col min="4" max="4" width="6.6640625" customWidth="1"/>
    <col min="5" max="5" width="6.33203125" customWidth="1"/>
    <col min="6" max="6" width="6.77734375" customWidth="1"/>
    <col min="7" max="7" width="6.21875" customWidth="1"/>
    <col min="8" max="8" width="8.5546875" customWidth="1"/>
    <col min="9" max="9" width="7.88671875" customWidth="1"/>
    <col min="10" max="10" width="9" customWidth="1"/>
    <col min="11" max="11" width="8.109375" bestFit="1" customWidth="1"/>
    <col min="12" max="16" width="0" hidden="1" customWidth="1"/>
    <col min="17" max="17" width="6.88671875" bestFit="1" customWidth="1"/>
    <col min="18" max="18" width="7.77734375" customWidth="1"/>
    <col min="19" max="19" width="6.77734375" customWidth="1"/>
    <col min="20" max="20" width="7.21875" customWidth="1"/>
    <col min="21" max="21" width="7.33203125" customWidth="1"/>
    <col min="22" max="22" width="8.5546875" customWidth="1"/>
    <col min="23" max="23" width="7.21875" customWidth="1"/>
    <col min="24" max="24" width="6.33203125" customWidth="1"/>
    <col min="25" max="25" width="6.44140625" customWidth="1"/>
    <col min="26" max="26" width="7.21875" customWidth="1"/>
    <col min="27" max="27" width="6.109375" customWidth="1"/>
    <col min="32" max="32" width="7.6640625" customWidth="1"/>
    <col min="33" max="33" width="8.5546875" customWidth="1"/>
    <col min="34" max="34" width="7.21875" customWidth="1"/>
    <col min="36" max="36" width="10.21875" customWidth="1"/>
    <col min="37" max="37" width="9.6640625" customWidth="1"/>
  </cols>
  <sheetData>
    <row r="2" spans="1:37" x14ac:dyDescent="0.3">
      <c r="B2" t="s">
        <v>23</v>
      </c>
      <c r="C2">
        <v>7.98</v>
      </c>
    </row>
    <row r="3" spans="1:37" ht="15" thickBot="1" x14ac:dyDescent="0.35">
      <c r="B3" t="s">
        <v>24</v>
      </c>
      <c r="C3">
        <v>6.06</v>
      </c>
      <c r="G3" s="19"/>
    </row>
    <row r="4" spans="1:37" ht="41.4" customHeight="1" x14ac:dyDescent="0.3">
      <c r="A4" s="55" t="s">
        <v>37</v>
      </c>
      <c r="B4" s="56"/>
      <c r="C4" s="20" t="s">
        <v>4</v>
      </c>
      <c r="D4" s="47" t="s">
        <v>13</v>
      </c>
      <c r="E4" s="50" t="s">
        <v>41</v>
      </c>
      <c r="F4" s="50"/>
      <c r="G4" s="51"/>
      <c r="H4" s="42" t="s">
        <v>22</v>
      </c>
      <c r="I4" s="54" t="s">
        <v>44</v>
      </c>
      <c r="J4" s="50"/>
      <c r="K4" s="39" t="s">
        <v>4</v>
      </c>
      <c r="L4" s="32" t="s">
        <v>13</v>
      </c>
      <c r="M4" s="32" t="s">
        <v>5</v>
      </c>
      <c r="N4" s="50" t="s">
        <v>19</v>
      </c>
      <c r="O4" s="50"/>
      <c r="P4" s="50"/>
      <c r="Q4" s="48" t="s">
        <v>13</v>
      </c>
      <c r="R4" s="50" t="s">
        <v>42</v>
      </c>
      <c r="S4" s="50"/>
      <c r="T4" s="57"/>
      <c r="U4" s="54" t="s">
        <v>45</v>
      </c>
      <c r="V4" s="50"/>
      <c r="W4" s="20" t="s">
        <v>4</v>
      </c>
      <c r="X4" s="48" t="s">
        <v>13</v>
      </c>
      <c r="Y4" s="50" t="s">
        <v>41</v>
      </c>
      <c r="Z4" s="50"/>
      <c r="AA4" s="51"/>
      <c r="AF4" s="50" t="s">
        <v>19</v>
      </c>
      <c r="AG4" s="50"/>
      <c r="AH4" s="50"/>
      <c r="AJ4" s="8" t="s">
        <v>13</v>
      </c>
      <c r="AK4" s="9" t="s">
        <v>5</v>
      </c>
    </row>
    <row r="5" spans="1:37" x14ac:dyDescent="0.3">
      <c r="A5" s="5" t="s">
        <v>0</v>
      </c>
      <c r="B5" s="3" t="s">
        <v>2</v>
      </c>
      <c r="C5" s="3" t="s">
        <v>3</v>
      </c>
      <c r="D5" s="5" t="s">
        <v>6</v>
      </c>
      <c r="E5" s="3"/>
      <c r="F5" s="3" t="s">
        <v>9</v>
      </c>
      <c r="G5" s="6" t="s">
        <v>18</v>
      </c>
      <c r="H5" s="43" t="s">
        <v>29</v>
      </c>
      <c r="I5" s="5" t="s">
        <v>0</v>
      </c>
      <c r="J5" s="3" t="s">
        <v>2</v>
      </c>
      <c r="K5" s="40" t="s">
        <v>3</v>
      </c>
      <c r="L5" s="3" t="s">
        <v>6</v>
      </c>
      <c r="M5" s="3" t="s">
        <v>6</v>
      </c>
      <c r="N5" s="3" t="s">
        <v>7</v>
      </c>
      <c r="O5" s="3" t="s">
        <v>9</v>
      </c>
      <c r="P5" s="3" t="s">
        <v>12</v>
      </c>
      <c r="Q5" s="3" t="s">
        <v>6</v>
      </c>
      <c r="R5" s="3"/>
      <c r="S5" s="3" t="s">
        <v>9</v>
      </c>
      <c r="T5" s="17" t="s">
        <v>18</v>
      </c>
      <c r="U5" s="5" t="s">
        <v>0</v>
      </c>
      <c r="V5" s="3" t="s">
        <v>2</v>
      </c>
      <c r="W5" s="3" t="s">
        <v>3</v>
      </c>
      <c r="X5" s="3" t="s">
        <v>6</v>
      </c>
      <c r="Y5" s="3"/>
      <c r="Z5" s="3" t="s">
        <v>9</v>
      </c>
      <c r="AA5" s="6" t="s">
        <v>18</v>
      </c>
      <c r="AF5" s="3" t="s">
        <v>7</v>
      </c>
      <c r="AG5" s="3" t="s">
        <v>9</v>
      </c>
      <c r="AH5" s="3" t="s">
        <v>12</v>
      </c>
      <c r="AJ5" s="5" t="s">
        <v>6</v>
      </c>
      <c r="AK5" s="6" t="s">
        <v>6</v>
      </c>
    </row>
    <row r="6" spans="1:37" x14ac:dyDescent="0.3">
      <c r="A6" s="5"/>
      <c r="B6" s="3"/>
      <c r="C6" s="3"/>
      <c r="D6" s="5"/>
      <c r="E6" s="3" t="s">
        <v>7</v>
      </c>
      <c r="F6" s="3" t="s">
        <v>8</v>
      </c>
      <c r="G6" s="6" t="s">
        <v>11</v>
      </c>
      <c r="H6" s="43" t="s">
        <v>8</v>
      </c>
      <c r="I6" s="5"/>
      <c r="J6" s="3"/>
      <c r="K6" s="40"/>
      <c r="L6" s="3" t="s">
        <v>16</v>
      </c>
      <c r="M6" s="3" t="s">
        <v>17</v>
      </c>
      <c r="N6" s="3" t="s">
        <v>8</v>
      </c>
      <c r="O6" s="3" t="s">
        <v>10</v>
      </c>
      <c r="P6" s="3" t="s">
        <v>11</v>
      </c>
      <c r="Q6" s="3"/>
      <c r="R6" s="3" t="s">
        <v>7</v>
      </c>
      <c r="S6" s="3" t="s">
        <v>8</v>
      </c>
      <c r="T6" s="17" t="s">
        <v>11</v>
      </c>
      <c r="U6" s="5"/>
      <c r="V6" s="3"/>
      <c r="W6" s="3"/>
      <c r="X6" s="3"/>
      <c r="Y6" s="3" t="s">
        <v>7</v>
      </c>
      <c r="Z6" s="3" t="s">
        <v>8</v>
      </c>
      <c r="AA6" s="6" t="s">
        <v>11</v>
      </c>
      <c r="AF6" s="3" t="s">
        <v>8</v>
      </c>
      <c r="AG6" s="3" t="s">
        <v>10</v>
      </c>
      <c r="AH6" s="3" t="s">
        <v>11</v>
      </c>
      <c r="AJ6" s="5" t="s">
        <v>16</v>
      </c>
      <c r="AK6" s="6" t="s">
        <v>17</v>
      </c>
    </row>
    <row r="7" spans="1:37" x14ac:dyDescent="0.3">
      <c r="A7" s="12">
        <v>300</v>
      </c>
      <c r="B7" s="2">
        <v>31</v>
      </c>
      <c r="C7" s="4">
        <f>0.434*B7</f>
        <v>13.454000000000001</v>
      </c>
      <c r="D7" s="10">
        <f>(0.4084*A7)/6.06^2</f>
        <v>3.3362742214815544</v>
      </c>
      <c r="E7" s="3">
        <v>0.26</v>
      </c>
      <c r="F7" s="4">
        <f>C7-E7</f>
        <v>13.194000000000001</v>
      </c>
      <c r="G7" s="35">
        <f>F7/0.434</f>
        <v>30.400921658986178</v>
      </c>
      <c r="H7" s="44">
        <v>0.01</v>
      </c>
      <c r="I7" s="29">
        <v>322.5</v>
      </c>
      <c r="J7" s="58">
        <v>35.824375000000003</v>
      </c>
      <c r="K7" s="41">
        <f>0.434*J7</f>
        <v>15.547778750000001</v>
      </c>
      <c r="L7" s="4">
        <f>(0.4084*I7)/6.06^2</f>
        <v>3.5864947880926712</v>
      </c>
      <c r="M7" s="4">
        <f>(0.4084*I7)/7.98^2</f>
        <v>2.0682816062713174</v>
      </c>
      <c r="N7" s="4">
        <f>(62.14/144)*((L7^2)-(M7)^2)/(2*32.2)</f>
        <v>5.7526914866243298E-2</v>
      </c>
      <c r="O7" s="4">
        <f>K7-N7</f>
        <v>15.490251835133758</v>
      </c>
      <c r="P7" s="21">
        <f>O7/0.434</f>
        <v>35.691824504916497</v>
      </c>
      <c r="Q7" s="4">
        <f>(0.4084*I7)/6.06^2</f>
        <v>3.5864947880926712</v>
      </c>
      <c r="R7" s="21">
        <v>0.31</v>
      </c>
      <c r="S7" s="21">
        <f>K7-R7</f>
        <v>15.23777875</v>
      </c>
      <c r="T7" s="33">
        <f>S7/0.434</f>
        <v>35.110089285714288</v>
      </c>
      <c r="U7" s="29">
        <v>330</v>
      </c>
      <c r="V7" s="27">
        <v>37.510000000000005</v>
      </c>
      <c r="W7" s="4">
        <f>0.434*V7</f>
        <v>16.279340000000001</v>
      </c>
      <c r="X7" s="4">
        <f>(0.4084*U7)/6.06^2</f>
        <v>3.6699016436297094</v>
      </c>
      <c r="Y7" s="3">
        <v>0.32</v>
      </c>
      <c r="Z7" s="4">
        <f>W7-Y7</f>
        <v>15.959340000000001</v>
      </c>
      <c r="AA7" s="37">
        <f>Z7/0.434</f>
        <v>36.772672811059913</v>
      </c>
      <c r="AF7" s="4">
        <f>(62.14/144)*((AJ7^2)-(AK7)^2)/(2*32.2)</f>
        <v>4.9779915514326263E-2</v>
      </c>
      <c r="AG7" s="4">
        <f>C7-AF7</f>
        <v>13.404220084485674</v>
      </c>
      <c r="AH7" s="21">
        <f>AG7/0.434</f>
        <v>30.885299733837957</v>
      </c>
      <c r="AJ7" s="10">
        <f>(0.4084*A7)/6.06^2</f>
        <v>3.3362742214815544</v>
      </c>
      <c r="AK7" s="13">
        <f>(0.4084*A7)/7.98^2</f>
        <v>1.9239828895547135</v>
      </c>
    </row>
    <row r="8" spans="1:37" x14ac:dyDescent="0.3">
      <c r="A8" s="12">
        <v>400</v>
      </c>
      <c r="B8" s="2">
        <v>30.2</v>
      </c>
      <c r="C8" s="4">
        <f t="shared" ref="C8:C10" si="0">0.434*B8</f>
        <v>13.1068</v>
      </c>
      <c r="D8" s="10">
        <f>(0.4084*A8)/6.06^2</f>
        <v>4.4483656286420716</v>
      </c>
      <c r="E8" s="3">
        <v>0.46</v>
      </c>
      <c r="F8" s="4">
        <f>C8-E8</f>
        <v>12.646799999999999</v>
      </c>
      <c r="G8" s="35">
        <f t="shared" ref="G8:G10" si="1">F8/0.434</f>
        <v>29.140092165898615</v>
      </c>
      <c r="H8" s="44">
        <v>0.01</v>
      </c>
      <c r="I8" s="29">
        <v>430</v>
      </c>
      <c r="J8" s="58">
        <v>34.899875000000002</v>
      </c>
      <c r="K8" s="41">
        <f>0.434*J8</f>
        <v>15.146545750000001</v>
      </c>
      <c r="L8" s="4">
        <f>(0.4084*I8)/6.06^2</f>
        <v>4.781993050790228</v>
      </c>
      <c r="M8" s="4">
        <f>(0.4084*I8)/7.98^2</f>
        <v>2.7577088083617562</v>
      </c>
      <c r="N8" s="4">
        <f>(62.14/144)*((L8^2)-(M8)^2)/(2*32.2)</f>
        <v>0.10227007087332142</v>
      </c>
      <c r="O8" s="4">
        <f>K8-N8</f>
        <v>15.044275679126679</v>
      </c>
      <c r="P8" s="21">
        <f t="shared" ref="P8:P10" si="2">O8/0.434</f>
        <v>34.664229675407093</v>
      </c>
      <c r="Q8" s="4">
        <f t="shared" ref="Q8:Q10" si="3">(0.4084*I8)/6.06^2</f>
        <v>4.781993050790228</v>
      </c>
      <c r="R8" s="21">
        <v>0.54</v>
      </c>
      <c r="S8" s="21">
        <f t="shared" ref="S8:S10" si="4">K8-R8</f>
        <v>14.606545750000002</v>
      </c>
      <c r="T8" s="33">
        <f t="shared" ref="T8:T10" si="5">S8/0.434</f>
        <v>33.655635368663603</v>
      </c>
      <c r="U8" s="29">
        <v>440</v>
      </c>
      <c r="V8" s="27">
        <v>36.542000000000002</v>
      </c>
      <c r="W8" s="4">
        <f t="shared" ref="W8:W10" si="6">0.434*V8</f>
        <v>15.859228</v>
      </c>
      <c r="X8" s="4">
        <f t="shared" ref="X8:X10" si="7">(0.4084*U8)/6.06^2</f>
        <v>4.8932021915062798</v>
      </c>
      <c r="Y8" s="3">
        <v>0.56000000000000005</v>
      </c>
      <c r="Z8" s="4">
        <f>W8-Y8</f>
        <v>15.299227999999999</v>
      </c>
      <c r="AA8" s="37">
        <f t="shared" ref="AA8:AA10" si="8">Z8/0.434</f>
        <v>35.251677419354834</v>
      </c>
      <c r="AF8" s="4">
        <f>(62.14/144)*((AJ8^2)-(AK8)^2)/(2*32.2)</f>
        <v>8.8497627581024405E-2</v>
      </c>
      <c r="AG8" s="4">
        <f>C8-AF8</f>
        <v>13.018302372418976</v>
      </c>
      <c r="AH8" s="21">
        <f t="shared" ref="AH8:AH10" si="9">AG8/0.434</f>
        <v>29.996088415711927</v>
      </c>
      <c r="AJ8" s="10">
        <f>(0.4084*A8)/6.06^2</f>
        <v>4.4483656286420716</v>
      </c>
      <c r="AK8" s="13">
        <f>(0.4084*A8)/7.98^2</f>
        <v>2.5653105194062849</v>
      </c>
    </row>
    <row r="9" spans="1:37" x14ac:dyDescent="0.3">
      <c r="A9" s="12">
        <v>430</v>
      </c>
      <c r="B9" s="2">
        <v>30</v>
      </c>
      <c r="C9" s="4">
        <f t="shared" si="0"/>
        <v>13.02</v>
      </c>
      <c r="D9" s="10">
        <f>(0.4084*A9)/6.06^2</f>
        <v>4.781993050790228</v>
      </c>
      <c r="E9" s="3">
        <v>0.53</v>
      </c>
      <c r="F9" s="4">
        <f>C9-E9</f>
        <v>12.49</v>
      </c>
      <c r="G9" s="35">
        <f t="shared" si="1"/>
        <v>28.778801843317972</v>
      </c>
      <c r="H9" s="44">
        <v>0.01</v>
      </c>
      <c r="I9" s="29">
        <v>462.25</v>
      </c>
      <c r="J9" s="58">
        <v>34.668750000000003</v>
      </c>
      <c r="K9" s="41">
        <f>0.434*J9</f>
        <v>15.046237500000002</v>
      </c>
      <c r="L9" s="4">
        <f>(0.4084*I9)/6.06^2</f>
        <v>5.1406425295994946</v>
      </c>
      <c r="M9" s="4">
        <f>(0.4084*I9)/7.98^2</f>
        <v>2.9645369689888876</v>
      </c>
      <c r="N9" s="4">
        <f>(62.14/144)*((L9^2)-(M9)^2)/(2*32.2)</f>
        <v>0.11818585065298205</v>
      </c>
      <c r="O9" s="4">
        <f>K9-N9</f>
        <v>14.928051649347021</v>
      </c>
      <c r="P9" s="21">
        <f t="shared" si="2"/>
        <v>34.396432371767325</v>
      </c>
      <c r="Q9" s="4">
        <f t="shared" si="3"/>
        <v>5.1406425295994946</v>
      </c>
      <c r="R9" s="21">
        <v>0.61</v>
      </c>
      <c r="S9" s="21">
        <f t="shared" si="4"/>
        <v>14.436237500000002</v>
      </c>
      <c r="T9" s="33">
        <f t="shared" si="5"/>
        <v>33.263220046082957</v>
      </c>
      <c r="U9" s="29">
        <v>473</v>
      </c>
      <c r="V9" s="27">
        <v>36.300000000000004</v>
      </c>
      <c r="W9" s="4">
        <f t="shared" si="6"/>
        <v>15.754200000000001</v>
      </c>
      <c r="X9" s="4">
        <f t="shared" si="7"/>
        <v>5.2601923558692505</v>
      </c>
      <c r="Y9" s="3">
        <v>0.64</v>
      </c>
      <c r="Z9" s="4">
        <f>W9-Y9</f>
        <v>15.1142</v>
      </c>
      <c r="AA9" s="37">
        <f t="shared" si="8"/>
        <v>34.825345622119819</v>
      </c>
      <c r="AF9" s="4">
        <f>(62.14/144)*((AJ9^2)-(AK9)^2)/(2*32.2)</f>
        <v>0.10227007087332142</v>
      </c>
      <c r="AG9" s="4">
        <f>C9-AF9</f>
        <v>12.917729929126677</v>
      </c>
      <c r="AH9" s="21">
        <f t="shared" si="9"/>
        <v>29.764354675407091</v>
      </c>
      <c r="AJ9" s="10">
        <f>(0.4084*A9)/6.06^2</f>
        <v>4.781993050790228</v>
      </c>
      <c r="AK9" s="13">
        <f>(0.4084*A9)/7.98^2</f>
        <v>2.7577088083617562</v>
      </c>
    </row>
    <row r="10" spans="1:37" ht="15" thickBot="1" x14ac:dyDescent="0.35">
      <c r="A10" s="14">
        <v>500</v>
      </c>
      <c r="B10" s="15">
        <v>29.5</v>
      </c>
      <c r="C10" s="7">
        <f t="shared" si="0"/>
        <v>12.802999999999999</v>
      </c>
      <c r="D10" s="10">
        <f>(0.4084*A10)/6.06^2</f>
        <v>5.5604570358025907</v>
      </c>
      <c r="E10" s="31">
        <v>0.71</v>
      </c>
      <c r="F10" s="7">
        <f>C10-E10</f>
        <v>12.093</v>
      </c>
      <c r="G10" s="36">
        <f t="shared" si="1"/>
        <v>27.864055299539171</v>
      </c>
      <c r="H10" s="45">
        <v>0.02</v>
      </c>
      <c r="I10" s="30">
        <v>537.5</v>
      </c>
      <c r="J10" s="59">
        <v>34.090937500000003</v>
      </c>
      <c r="K10" s="46">
        <f>0.434*J10</f>
        <v>14.795466875000001</v>
      </c>
      <c r="L10" s="7">
        <f>(0.4084*I10)/6.06^2</f>
        <v>5.9774913134877847</v>
      </c>
      <c r="M10" s="7">
        <f>(0.4084*I10)/7.98^2</f>
        <v>3.4471360104521951</v>
      </c>
      <c r="N10" s="7">
        <f>(62.14/144)*((L10^2)-(M10)^2)/(2*32.2)</f>
        <v>0.15979698573956469</v>
      </c>
      <c r="O10" s="7">
        <f>K10-N10</f>
        <v>14.635669889260436</v>
      </c>
      <c r="P10" s="22">
        <f t="shared" si="2"/>
        <v>33.722741680323587</v>
      </c>
      <c r="Q10" s="7">
        <f t="shared" si="3"/>
        <v>5.9774913134877847</v>
      </c>
      <c r="R10" s="22">
        <v>0.82</v>
      </c>
      <c r="S10" s="22">
        <f t="shared" si="4"/>
        <v>13.975466875</v>
      </c>
      <c r="T10" s="34">
        <f t="shared" si="5"/>
        <v>32.201536578341013</v>
      </c>
      <c r="U10" s="30">
        <v>550</v>
      </c>
      <c r="V10" s="28">
        <v>35.695</v>
      </c>
      <c r="W10" s="7">
        <f t="shared" si="6"/>
        <v>15.491630000000001</v>
      </c>
      <c r="X10" s="7">
        <f t="shared" si="7"/>
        <v>6.1165027393828497</v>
      </c>
      <c r="Y10" s="31">
        <v>0.86</v>
      </c>
      <c r="Z10" s="7">
        <f>W10-Y10</f>
        <v>14.631630000000001</v>
      </c>
      <c r="AA10" s="38">
        <f t="shared" si="8"/>
        <v>33.713433179723502</v>
      </c>
      <c r="AF10" s="7">
        <f>(62.14/144)*((AJ10^2)-(AK10)^2)/(2*32.2)</f>
        <v>0.13827754309535076</v>
      </c>
      <c r="AG10" s="7">
        <f>C10-AF10</f>
        <v>12.664722456904649</v>
      </c>
      <c r="AH10" s="22">
        <f t="shared" si="9"/>
        <v>29.181388149549882</v>
      </c>
      <c r="AJ10" s="11">
        <f>(0.4084*A10)/6.06^2</f>
        <v>5.5604570358025907</v>
      </c>
      <c r="AK10" s="16">
        <f>(0.4084*A10)/7.98^2</f>
        <v>3.2066381492578557</v>
      </c>
    </row>
    <row r="13" spans="1:37" x14ac:dyDescent="0.3">
      <c r="A13" t="s">
        <v>20</v>
      </c>
      <c r="B13" s="18">
        <v>4</v>
      </c>
      <c r="C13" t="s">
        <v>21</v>
      </c>
    </row>
    <row r="14" spans="1:37" x14ac:dyDescent="0.3">
      <c r="A14" t="s">
        <v>1</v>
      </c>
      <c r="B14" t="s">
        <v>15</v>
      </c>
    </row>
    <row r="15" spans="1:37" x14ac:dyDescent="0.3">
      <c r="A15" t="s">
        <v>14</v>
      </c>
      <c r="B15" t="s">
        <v>43</v>
      </c>
    </row>
    <row r="17" spans="1:10" x14ac:dyDescent="0.3">
      <c r="A17" t="s">
        <v>25</v>
      </c>
      <c r="B17">
        <v>32.200000000000003</v>
      </c>
      <c r="C17" t="s">
        <v>26</v>
      </c>
    </row>
    <row r="18" spans="1:10" x14ac:dyDescent="0.3">
      <c r="A18" t="s">
        <v>27</v>
      </c>
      <c r="B18">
        <v>62.4</v>
      </c>
      <c r="C18" t="s">
        <v>28</v>
      </c>
    </row>
    <row r="23" spans="1:10" x14ac:dyDescent="0.3">
      <c r="C23" t="s">
        <v>34</v>
      </c>
    </row>
    <row r="24" spans="1:10" x14ac:dyDescent="0.3">
      <c r="C24">
        <f>B26/C26</f>
        <v>0.90909090909090906</v>
      </c>
    </row>
    <row r="25" spans="1:10" x14ac:dyDescent="0.3">
      <c r="B25" t="s">
        <v>32</v>
      </c>
      <c r="C25" t="s">
        <v>33</v>
      </c>
    </row>
    <row r="26" spans="1:10" x14ac:dyDescent="0.3">
      <c r="B26" s="23">
        <v>400</v>
      </c>
      <c r="C26" s="24">
        <v>440</v>
      </c>
    </row>
    <row r="27" spans="1:10" x14ac:dyDescent="0.3">
      <c r="B27" s="52" t="s">
        <v>40</v>
      </c>
      <c r="C27" s="53"/>
      <c r="D27" s="25" t="s">
        <v>39</v>
      </c>
      <c r="E27" s="26"/>
    </row>
    <row r="28" spans="1:10" ht="14.4" customHeight="1" x14ac:dyDescent="0.3">
      <c r="A28" t="s">
        <v>4</v>
      </c>
      <c r="B28" s="3" t="s">
        <v>30</v>
      </c>
      <c r="C28" s="3" t="s">
        <v>31</v>
      </c>
      <c r="D28" s="3" t="s">
        <v>35</v>
      </c>
      <c r="E28" s="3" t="s">
        <v>36</v>
      </c>
    </row>
    <row r="29" spans="1:10" x14ac:dyDescent="0.3">
      <c r="B29" s="2">
        <v>31</v>
      </c>
      <c r="C29" s="3">
        <v>300</v>
      </c>
      <c r="D29" s="49">
        <f>C29/C$24</f>
        <v>330</v>
      </c>
      <c r="E29" s="49">
        <f>(B29)/((C$24)^2)</f>
        <v>37.510000000000005</v>
      </c>
    </row>
    <row r="30" spans="1:10" x14ac:dyDescent="0.3">
      <c r="A30">
        <v>11.8</v>
      </c>
      <c r="B30" s="2">
        <v>30.2</v>
      </c>
      <c r="C30" s="3">
        <v>400</v>
      </c>
      <c r="D30" s="49">
        <f>C30/C$24</f>
        <v>440</v>
      </c>
      <c r="E30" s="49">
        <f>(B30)/((C$24)^2)</f>
        <v>36.542000000000002</v>
      </c>
      <c r="J30" s="1"/>
    </row>
    <row r="31" spans="1:10" x14ac:dyDescent="0.3">
      <c r="A31">
        <v>12.2</v>
      </c>
      <c r="B31" s="2">
        <v>30</v>
      </c>
      <c r="C31" s="3">
        <v>430</v>
      </c>
      <c r="D31" s="49">
        <f>C31/C$24</f>
        <v>473</v>
      </c>
      <c r="E31" s="49">
        <f>(B31)/((C$24)^2)</f>
        <v>36.300000000000004</v>
      </c>
      <c r="J31" s="1"/>
    </row>
    <row r="32" spans="1:10" x14ac:dyDescent="0.3">
      <c r="A32">
        <v>12.5</v>
      </c>
      <c r="B32" s="2">
        <v>29.5</v>
      </c>
      <c r="C32" s="3">
        <v>500</v>
      </c>
      <c r="D32" s="49">
        <f>C32/C$24</f>
        <v>550</v>
      </c>
      <c r="E32" s="49">
        <f>(B32)/((C$24)^2)</f>
        <v>35.695</v>
      </c>
      <c r="J32" s="1"/>
    </row>
  </sheetData>
  <mergeCells count="9">
    <mergeCell ref="AF4:AH4"/>
    <mergeCell ref="I4:J4"/>
    <mergeCell ref="N4:P4"/>
    <mergeCell ref="R4:T4"/>
    <mergeCell ref="Y4:AA4"/>
    <mergeCell ref="B27:C27"/>
    <mergeCell ref="U4:V4"/>
    <mergeCell ref="A4:B4"/>
    <mergeCell ref="E4:G4"/>
  </mergeCells>
  <pageMargins left="0.7" right="0.7" top="0.75" bottom="0.75" header="0.3" footer="0.3"/>
  <pageSetup scale="3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0"/>
  <sheetViews>
    <sheetView workbookViewId="0">
      <selection activeCell="B4" sqref="B4"/>
    </sheetView>
  </sheetViews>
  <sheetFormatPr defaultRowHeight="14.4" x14ac:dyDescent="0.3"/>
  <cols>
    <col min="2" max="2" width="39.6640625" bestFit="1" customWidth="1"/>
  </cols>
  <sheetData>
    <row r="4" spans="1:9" x14ac:dyDescent="0.3">
      <c r="A4">
        <v>402</v>
      </c>
      <c r="B4" t="s">
        <v>38</v>
      </c>
      <c r="C4">
        <f t="shared" ref="C4" si="0">FIND("x",B4)</f>
        <v>12</v>
      </c>
      <c r="D4">
        <f>VALUE(TRIM(MID(B4,1,FIND("x2",B4)-1)))</f>
        <v>1.217E-6</v>
      </c>
      <c r="E4">
        <f>VALUE(TRIM(MID(B4,FIND("x2",B4)+4,(FIND("x -",B4)-1)-(FIND("x2",B4)+4))))</f>
        <v>4.8118E-4</v>
      </c>
      <c r="F4">
        <f>VALUE(TRIM(MID(B4,FIND("x ",B4)+4,99)))</f>
        <v>1.9595241999999999E-2</v>
      </c>
      <c r="H4" s="3">
        <v>30</v>
      </c>
      <c r="I4" s="3" t="s">
        <v>11</v>
      </c>
    </row>
    <row r="5" spans="1:9" x14ac:dyDescent="0.3">
      <c r="H5">
        <v>25</v>
      </c>
      <c r="I5" t="s">
        <v>11</v>
      </c>
    </row>
    <row r="6" spans="1:9" x14ac:dyDescent="0.3">
      <c r="B6">
        <v>556</v>
      </c>
      <c r="C6">
        <f>(B6^2*D$4+B6*E$4+F$4)*2.3*H$5/H$4</f>
        <v>1.2714205151666667</v>
      </c>
    </row>
    <row r="7" spans="1:9" x14ac:dyDescent="0.3">
      <c r="B7">
        <v>500</v>
      </c>
      <c r="C7">
        <f t="shared" ref="C7:C10" si="1">(B7^2*D$4+B7*E$4+F$4)*2.3*H$5/H$4</f>
        <v>1.081834213833333</v>
      </c>
    </row>
    <row r="8" spans="1:9" x14ac:dyDescent="0.3">
      <c r="B8">
        <v>430</v>
      </c>
      <c r="C8">
        <f t="shared" si="1"/>
        <v>0.86542472216666666</v>
      </c>
    </row>
    <row r="9" spans="1:9" x14ac:dyDescent="0.3">
      <c r="B9">
        <v>400</v>
      </c>
      <c r="C9">
        <f t="shared" si="1"/>
        <v>0.77967554716666654</v>
      </c>
    </row>
    <row r="10" spans="1:9" x14ac:dyDescent="0.3">
      <c r="B10">
        <v>300</v>
      </c>
      <c r="C10">
        <f t="shared" si="1"/>
        <v>0.52416854716666661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Pentair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2017-04-07T13:23:25Z</cp:lastPrinted>
  <dcterms:created xsi:type="dcterms:W3CDTF">2017-04-06T17:28:56Z</dcterms:created>
  <dcterms:modified xsi:type="dcterms:W3CDTF">2017-04-09T16:15:21Z</dcterms:modified>
</cp:coreProperties>
</file>