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txjo\Desktop\"/>
    </mc:Choice>
  </mc:AlternateContent>
  <xr:revisionPtr revIDLastSave="0" documentId="8_{29A691F9-0E46-4D60-9021-6D3CE53F4425}" xr6:coauthVersionLast="43" xr6:coauthVersionMax="43" xr10:uidLastSave="{00000000-0000-0000-0000-000000000000}"/>
  <bookViews>
    <workbookView xWindow="-108" yWindow="-108" windowWidth="23256" windowHeight="12576" activeTab="3" xr2:uid="{00000000-000D-0000-FFFF-FFFF00000000}"/>
  </bookViews>
  <sheets>
    <sheet name="Uncerts in D" sheetId="1" r:id="rId1"/>
    <sheet name="Equations" sheetId="4" r:id="rId2"/>
    <sheet name="Solver Curve Fit" sheetId="2" r:id="rId3"/>
    <sheet name="Ln Least Squares" sheetId="3" r:id="rId4"/>
  </sheets>
  <definedNames>
    <definedName name="_xlnm.Print_Area" localSheetId="3">'Ln Least Squares'!$A$1:$T$35</definedName>
    <definedName name="solver_adj" localSheetId="3" hidden="1">'Ln Least Squares'!$K$1:$K$2</definedName>
    <definedName name="solver_adj" localSheetId="2" hidden="1">'Solver Curve Fit'!$D$1:$D$2</definedName>
    <definedName name="solver_cvg" localSheetId="3" hidden="1">0.0001</definedName>
    <definedName name="solver_cvg" localSheetId="2" hidden="1">0.0001</definedName>
    <definedName name="solver_drv" localSheetId="3" hidden="1">1</definedName>
    <definedName name="solver_drv" localSheetId="2" hidden="1">1</definedName>
    <definedName name="solver_est" localSheetId="3" hidden="1">1</definedName>
    <definedName name="solver_est" localSheetId="2" hidden="1">1</definedName>
    <definedName name="solver_itr" localSheetId="3" hidden="1">100</definedName>
    <definedName name="solver_itr" localSheetId="2" hidden="1">100</definedName>
    <definedName name="solver_lin" localSheetId="3" hidden="1">2</definedName>
    <definedName name="solver_lin" localSheetId="2" hidden="1">2</definedName>
    <definedName name="solver_neg" localSheetId="3" hidden="1">2</definedName>
    <definedName name="solver_neg" localSheetId="2" hidden="1">2</definedName>
    <definedName name="solver_num" localSheetId="3" hidden="1">0</definedName>
    <definedName name="solver_num" localSheetId="2" hidden="1">0</definedName>
    <definedName name="solver_nwt" localSheetId="3" hidden="1">1</definedName>
    <definedName name="solver_nwt" localSheetId="2" hidden="1">1</definedName>
    <definedName name="solver_opt" localSheetId="3" hidden="1">'Ln Least Squares'!$K$24</definedName>
    <definedName name="solver_opt" localSheetId="2" hidden="1">'Solver Curve Fit'!$D$25</definedName>
    <definedName name="solver_pre" localSheetId="3" hidden="1">0.000001</definedName>
    <definedName name="solver_pre" localSheetId="2" hidden="1">0.000001</definedName>
    <definedName name="solver_scl" localSheetId="3" hidden="1">2</definedName>
    <definedName name="solver_scl" localSheetId="2" hidden="1">2</definedName>
    <definedName name="solver_sho" localSheetId="3" hidden="1">2</definedName>
    <definedName name="solver_sho" localSheetId="2" hidden="1">2</definedName>
    <definedName name="solver_tim" localSheetId="3" hidden="1">100</definedName>
    <definedName name="solver_tim" localSheetId="2" hidden="1">100</definedName>
    <definedName name="solver_tol" localSheetId="3" hidden="1">0.05</definedName>
    <definedName name="solver_tol" localSheetId="2" hidden="1">0.05</definedName>
    <definedName name="solver_typ" localSheetId="3" hidden="1">2</definedName>
    <definedName name="solver_typ" localSheetId="2" hidden="1">2</definedName>
    <definedName name="solver_val" localSheetId="3" hidden="1">0</definedName>
    <definedName name="solver_val" localSheetId="2" hidden="1">0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2" l="1"/>
  <c r="D1" i="2"/>
  <c r="G29" i="4"/>
  <c r="G30" i="4"/>
  <c r="G33" i="4" s="1"/>
  <c r="G31" i="4"/>
  <c r="G24" i="4"/>
  <c r="H25" i="4" s="1"/>
  <c r="I25" i="4" s="1"/>
  <c r="H26" i="4"/>
  <c r="I26" i="4" s="1"/>
  <c r="C26" i="4"/>
  <c r="C25" i="4"/>
  <c r="C24" i="4"/>
  <c r="G20" i="4"/>
  <c r="H22" i="4"/>
  <c r="I22" i="4" s="1"/>
  <c r="C22" i="4"/>
  <c r="H21" i="4"/>
  <c r="I21" i="4" s="1"/>
  <c r="C21" i="4"/>
  <c r="C20" i="4"/>
  <c r="G16" i="4"/>
  <c r="H18" i="4" s="1"/>
  <c r="I18" i="4" s="1"/>
  <c r="C18" i="4"/>
  <c r="C17" i="4"/>
  <c r="C16" i="4"/>
  <c r="G12" i="4"/>
  <c r="H13" i="4" s="1"/>
  <c r="I13" i="4" s="1"/>
  <c r="H14" i="4"/>
  <c r="I14" i="4" s="1"/>
  <c r="C14" i="4"/>
  <c r="C13" i="4"/>
  <c r="C12" i="4"/>
  <c r="G8" i="4"/>
  <c r="H9" i="4" s="1"/>
  <c r="I9" i="4" s="1"/>
  <c r="H10" i="4"/>
  <c r="I10" i="4" s="1"/>
  <c r="C10" i="4"/>
  <c r="C9" i="4"/>
  <c r="C8" i="4"/>
  <c r="B9" i="2"/>
  <c r="B8" i="3"/>
  <c r="E8" i="3" s="1"/>
  <c r="B10" i="2"/>
  <c r="B11" i="2"/>
  <c r="B10" i="3" s="1"/>
  <c r="E10" i="3" s="1"/>
  <c r="B12" i="2"/>
  <c r="B11" i="3"/>
  <c r="E11" i="3"/>
  <c r="B13" i="2"/>
  <c r="B12" i="3" s="1"/>
  <c r="E12" i="3" s="1"/>
  <c r="B14" i="2"/>
  <c r="B13" i="3" s="1"/>
  <c r="E13" i="3" s="1"/>
  <c r="B15" i="2"/>
  <c r="B16" i="2"/>
  <c r="B15" i="3" s="1"/>
  <c r="E15" i="3" s="1"/>
  <c r="B17" i="2"/>
  <c r="B16" i="3"/>
  <c r="E16" i="3" s="1"/>
  <c r="B18" i="2"/>
  <c r="B17" i="3"/>
  <c r="E17" i="3" s="1"/>
  <c r="B19" i="2"/>
  <c r="B18" i="3" s="1"/>
  <c r="E18" i="3" s="1"/>
  <c r="B20" i="2"/>
  <c r="B19" i="3" s="1"/>
  <c r="E19" i="3" s="1"/>
  <c r="B21" i="2"/>
  <c r="B20" i="3" s="1"/>
  <c r="E20" i="3" s="1"/>
  <c r="B22" i="2"/>
  <c r="B21" i="3"/>
  <c r="E21" i="3"/>
  <c r="B23" i="2"/>
  <c r="B22" i="3" s="1"/>
  <c r="E22" i="3" s="1"/>
  <c r="B7" i="2"/>
  <c r="B7" i="3" s="1"/>
  <c r="A7" i="2"/>
  <c r="A7" i="3" s="1"/>
  <c r="B6" i="2"/>
  <c r="B6" i="3" s="1"/>
  <c r="A6" i="2"/>
  <c r="A6" i="3" s="1"/>
  <c r="B5" i="2"/>
  <c r="B5" i="3" s="1"/>
  <c r="A5" i="2"/>
  <c r="A5" i="3" s="1"/>
  <c r="B4" i="2"/>
  <c r="B4" i="3" s="1"/>
  <c r="A4" i="2"/>
  <c r="A4" i="3" s="1"/>
  <c r="A3" i="2"/>
  <c r="A3" i="3" s="1"/>
  <c r="A2" i="2"/>
  <c r="A2" i="3" s="1"/>
  <c r="A1" i="2"/>
  <c r="A1" i="3" s="1"/>
  <c r="G24" i="1"/>
  <c r="H26" i="1" s="1"/>
  <c r="I26" i="1" s="1"/>
  <c r="G20" i="1"/>
  <c r="H22" i="1" s="1"/>
  <c r="I22" i="1" s="1"/>
  <c r="G16" i="1"/>
  <c r="H17" i="1" s="1"/>
  <c r="I17" i="1" s="1"/>
  <c r="G12" i="1"/>
  <c r="H12" i="1" s="1"/>
  <c r="I12" i="1" s="1"/>
  <c r="G8" i="1"/>
  <c r="H10" i="1" s="1"/>
  <c r="I10" i="1" s="1"/>
  <c r="G31" i="1"/>
  <c r="G30" i="1"/>
  <c r="G33" i="1" s="1"/>
  <c r="G29" i="1"/>
  <c r="C26" i="1"/>
  <c r="A23" i="2" s="1"/>
  <c r="C25" i="1"/>
  <c r="A22" i="2" s="1"/>
  <c r="C24" i="1"/>
  <c r="A21" i="2" s="1"/>
  <c r="C22" i="1"/>
  <c r="A20" i="2" s="1"/>
  <c r="A19" i="3" s="1"/>
  <c r="D19" i="3" s="1"/>
  <c r="C21" i="1"/>
  <c r="A19" i="2" s="1"/>
  <c r="C20" i="1"/>
  <c r="A18" i="2" s="1"/>
  <c r="C18" i="1"/>
  <c r="A17" i="2"/>
  <c r="A16" i="3" s="1"/>
  <c r="D16" i="3" s="1"/>
  <c r="C17" i="1"/>
  <c r="A16" i="2"/>
  <c r="A15" i="3" s="1"/>
  <c r="D15" i="3" s="1"/>
  <c r="C16" i="1"/>
  <c r="A15" i="2"/>
  <c r="C15" i="2" s="1"/>
  <c r="C14" i="1"/>
  <c r="A14" i="2"/>
  <c r="C14" i="2" s="1"/>
  <c r="C13" i="1"/>
  <c r="A13" i="2" s="1"/>
  <c r="C12" i="1"/>
  <c r="A12" i="2" s="1"/>
  <c r="C10" i="1"/>
  <c r="A11" i="2" s="1"/>
  <c r="C9" i="1"/>
  <c r="A10" i="2" s="1"/>
  <c r="A9" i="3" s="1"/>
  <c r="D9" i="3" s="1"/>
  <c r="C8" i="1"/>
  <c r="A9" i="2"/>
  <c r="A8" i="3" s="1"/>
  <c r="D8" i="3" s="1"/>
  <c r="H9" i="1"/>
  <c r="I9" i="1" s="1"/>
  <c r="H18" i="1"/>
  <c r="I18" i="1" s="1"/>
  <c r="H24" i="1"/>
  <c r="I24" i="1"/>
  <c r="H8" i="1"/>
  <c r="I8" i="1" s="1"/>
  <c r="J8" i="1" s="1"/>
  <c r="K8" i="1" s="1"/>
  <c r="L8" i="1" s="1"/>
  <c r="M8" i="1" s="1"/>
  <c r="H12" i="4"/>
  <c r="I12" i="4" s="1"/>
  <c r="H16" i="4"/>
  <c r="I16" i="4" s="1"/>
  <c r="H20" i="4"/>
  <c r="I20" i="4" s="1"/>
  <c r="H24" i="4"/>
  <c r="I24" i="4"/>
  <c r="B14" i="3"/>
  <c r="E14" i="3" s="1"/>
  <c r="B9" i="3"/>
  <c r="E9" i="3" s="1"/>
  <c r="H25" i="1"/>
  <c r="I25" i="1" s="1"/>
  <c r="H16" i="1"/>
  <c r="I16" i="1" s="1"/>
  <c r="C20" i="2"/>
  <c r="J24" i="4" l="1"/>
  <c r="K24" i="4" s="1"/>
  <c r="L24" i="4" s="1"/>
  <c r="M24" i="4" s="1"/>
  <c r="J16" i="1"/>
  <c r="K16" i="1" s="1"/>
  <c r="L16" i="1" s="1"/>
  <c r="M16" i="1" s="1"/>
  <c r="H17" i="4"/>
  <c r="I17" i="4" s="1"/>
  <c r="J16" i="4" s="1"/>
  <c r="K16" i="4" s="1"/>
  <c r="L16" i="4" s="1"/>
  <c r="M16" i="4" s="1"/>
  <c r="C16" i="2"/>
  <c r="J20" i="4"/>
  <c r="K20" i="4" s="1"/>
  <c r="L20" i="4" s="1"/>
  <c r="M20" i="4" s="1"/>
  <c r="D16" i="2"/>
  <c r="J24" i="1"/>
  <c r="K24" i="1" s="1"/>
  <c r="L24" i="1" s="1"/>
  <c r="M24" i="1" s="1"/>
  <c r="H8" i="4"/>
  <c r="I8" i="4" s="1"/>
  <c r="J8" i="4" s="1"/>
  <c r="K8" i="4" s="1"/>
  <c r="L8" i="4" s="1"/>
  <c r="M8" i="4" s="1"/>
  <c r="H14" i="1"/>
  <c r="I14" i="1" s="1"/>
  <c r="G9" i="3"/>
  <c r="J9" i="3"/>
  <c r="K9" i="3" s="1"/>
  <c r="F9" i="3"/>
  <c r="G15" i="3"/>
  <c r="F15" i="3"/>
  <c r="A17" i="3"/>
  <c r="D17" i="3" s="1"/>
  <c r="C18" i="2"/>
  <c r="C22" i="2"/>
  <c r="A21" i="3"/>
  <c r="D21" i="3" s="1"/>
  <c r="C10" i="2"/>
  <c r="J12" i="4"/>
  <c r="K12" i="4" s="1"/>
  <c r="L12" i="4" s="1"/>
  <c r="M12" i="4" s="1"/>
  <c r="A10" i="3"/>
  <c r="D10" i="3" s="1"/>
  <c r="C11" i="2"/>
  <c r="C19" i="2"/>
  <c r="A18" i="3"/>
  <c r="D18" i="3" s="1"/>
  <c r="C23" i="2"/>
  <c r="A22" i="3"/>
  <c r="D22" i="3" s="1"/>
  <c r="A11" i="3"/>
  <c r="D11" i="3" s="1"/>
  <c r="C12" i="2"/>
  <c r="F16" i="3"/>
  <c r="G16" i="3"/>
  <c r="J16" i="3"/>
  <c r="K16" i="3" s="1"/>
  <c r="E24" i="3"/>
  <c r="J15" i="3"/>
  <c r="K15" i="3" s="1"/>
  <c r="F8" i="3"/>
  <c r="J8" i="3"/>
  <c r="K8" i="3" s="1"/>
  <c r="G8" i="3"/>
  <c r="D15" i="2"/>
  <c r="E15" i="2"/>
  <c r="G19" i="3"/>
  <c r="J19" i="3"/>
  <c r="K19" i="3" s="1"/>
  <c r="F19" i="3"/>
  <c r="A12" i="3"/>
  <c r="D12" i="3" s="1"/>
  <c r="C13" i="2"/>
  <c r="A20" i="3"/>
  <c r="D20" i="3" s="1"/>
  <c r="C21" i="2"/>
  <c r="E16" i="2"/>
  <c r="D14" i="2"/>
  <c r="A13" i="3"/>
  <c r="D13" i="3" s="1"/>
  <c r="D20" i="2"/>
  <c r="C9" i="2"/>
  <c r="E14" i="2"/>
  <c r="H13" i="1"/>
  <c r="I13" i="1" s="1"/>
  <c r="J12" i="1" s="1"/>
  <c r="K12" i="1" s="1"/>
  <c r="L12" i="1" s="1"/>
  <c r="M12" i="1" s="1"/>
  <c r="E20" i="2"/>
  <c r="C17" i="2"/>
  <c r="A14" i="3"/>
  <c r="D14" i="3" s="1"/>
  <c r="H20" i="1"/>
  <c r="I20" i="1" s="1"/>
  <c r="H21" i="1"/>
  <c r="I21" i="1" s="1"/>
  <c r="J20" i="1" l="1"/>
  <c r="K20" i="1" s="1"/>
  <c r="L20" i="1" s="1"/>
  <c r="M20" i="1" s="1"/>
  <c r="E12" i="2"/>
  <c r="D12" i="2"/>
  <c r="F14" i="3"/>
  <c r="G14" i="3"/>
  <c r="J14" i="3"/>
  <c r="K14" i="3" s="1"/>
  <c r="D13" i="2"/>
  <c r="E13" i="2"/>
  <c r="F11" i="3"/>
  <c r="G11" i="3"/>
  <c r="J11" i="3"/>
  <c r="K11" i="3" s="1"/>
  <c r="D19" i="2"/>
  <c r="E19" i="2"/>
  <c r="D10" i="2"/>
  <c r="E10" i="2"/>
  <c r="E18" i="2"/>
  <c r="D18" i="2"/>
  <c r="F20" i="3"/>
  <c r="G20" i="3"/>
  <c r="J20" i="3"/>
  <c r="K20" i="3" s="1"/>
  <c r="G18" i="3"/>
  <c r="F18" i="3"/>
  <c r="J18" i="3"/>
  <c r="K18" i="3" s="1"/>
  <c r="D22" i="2"/>
  <c r="E22" i="2"/>
  <c r="D17" i="2"/>
  <c r="E17" i="2"/>
  <c r="D9" i="2"/>
  <c r="E9" i="2"/>
  <c r="J12" i="3"/>
  <c r="K12" i="3" s="1"/>
  <c r="G12" i="3"/>
  <c r="F12" i="3"/>
  <c r="G22" i="3"/>
  <c r="F22" i="3"/>
  <c r="J22" i="3"/>
  <c r="K22" i="3" s="1"/>
  <c r="D11" i="2"/>
  <c r="E11" i="2"/>
  <c r="J17" i="3"/>
  <c r="K17" i="3" s="1"/>
  <c r="F17" i="3"/>
  <c r="G17" i="3"/>
  <c r="J13" i="3"/>
  <c r="K13" i="3" s="1"/>
  <c r="F13" i="3"/>
  <c r="G13" i="3"/>
  <c r="D21" i="2"/>
  <c r="E21" i="2"/>
  <c r="D23" i="2"/>
  <c r="E23" i="2"/>
  <c r="J10" i="3"/>
  <c r="K10" i="3" s="1"/>
  <c r="G10" i="3"/>
  <c r="D24" i="3"/>
  <c r="F10" i="3"/>
  <c r="F21" i="3"/>
  <c r="G21" i="3"/>
  <c r="J21" i="3"/>
  <c r="K21" i="3" s="1"/>
  <c r="F24" i="3" l="1"/>
  <c r="K24" i="3"/>
  <c r="G24" i="3"/>
  <c r="E31" i="3"/>
  <c r="E27" i="3"/>
  <c r="E29" i="3"/>
  <c r="D25" i="2"/>
  <c r="H10" i="3" l="1"/>
  <c r="I10" i="3" s="1"/>
  <c r="H22" i="3"/>
  <c r="I22" i="3" s="1"/>
  <c r="H14" i="3"/>
  <c r="I14" i="3" s="1"/>
  <c r="H13" i="3"/>
  <c r="I13" i="3" s="1"/>
  <c r="H18" i="3"/>
  <c r="I18" i="3" s="1"/>
  <c r="H8" i="3"/>
  <c r="I8" i="3" s="1"/>
  <c r="H15" i="3"/>
  <c r="I15" i="3" s="1"/>
  <c r="H11" i="3"/>
  <c r="I11" i="3" s="1"/>
  <c r="H21" i="3"/>
  <c r="I21" i="3" s="1"/>
  <c r="H9" i="3"/>
  <c r="I9" i="3" s="1"/>
  <c r="H12" i="3"/>
  <c r="I12" i="3" s="1"/>
  <c r="H19" i="3"/>
  <c r="I19" i="3" s="1"/>
  <c r="H20" i="3"/>
  <c r="I20" i="3" s="1"/>
  <c r="L29" i="3"/>
  <c r="H16" i="3"/>
  <c r="I16" i="3" s="1"/>
  <c r="H17" i="3"/>
  <c r="I17" i="3" s="1"/>
  <c r="I24" i="3" l="1"/>
  <c r="I27" i="3" s="1"/>
  <c r="I29" i="3" l="1"/>
  <c r="I31" i="3"/>
  <c r="I34" i="3" s="1"/>
</calcChain>
</file>

<file path=xl/sharedStrings.xml><?xml version="1.0" encoding="utf-8"?>
<sst xmlns="http://schemas.openxmlformats.org/spreadsheetml/2006/main" count="101" uniqueCount="61">
  <si>
    <t>Mass</t>
  </si>
  <si>
    <t>m</t>
  </si>
  <si>
    <t>(g)</t>
  </si>
  <si>
    <t>Drop Height</t>
  </si>
  <si>
    <t>h</t>
  </si>
  <si>
    <t>(cm)</t>
  </si>
  <si>
    <t xml:space="preserve">Potential </t>
  </si>
  <si>
    <t>Energy</t>
  </si>
  <si>
    <t xml:space="preserve">Kinetic </t>
  </si>
  <si>
    <t>E</t>
  </si>
  <si>
    <t>(J)</t>
  </si>
  <si>
    <t>↓</t>
  </si>
  <si>
    <t>Crater</t>
  </si>
  <si>
    <t>Diameter</t>
  </si>
  <si>
    <t>D</t>
  </si>
  <si>
    <t>g</t>
  </si>
  <si>
    <t>(m.s-2)</t>
  </si>
  <si>
    <t>model</t>
  </si>
  <si>
    <t>c</t>
  </si>
  <si>
    <t>n</t>
  </si>
  <si>
    <t>error^2</t>
  </si>
  <si>
    <t>residual</t>
  </si>
  <si>
    <t>ln(E)</t>
  </si>
  <si>
    <t>ln(D)</t>
  </si>
  <si>
    <t>X</t>
  </si>
  <si>
    <t>Y</t>
  </si>
  <si>
    <t>sumX</t>
  </si>
  <si>
    <t>sumY</t>
  </si>
  <si>
    <t>X^2</t>
  </si>
  <si>
    <t>sumX^2</t>
  </si>
  <si>
    <t>XY</t>
  </si>
  <si>
    <t>sumXY</t>
  </si>
  <si>
    <t>slope =</t>
  </si>
  <si>
    <t>intercept =</t>
  </si>
  <si>
    <t>sum error^2</t>
  </si>
  <si>
    <t>s =</t>
  </si>
  <si>
    <t>s(int) =</t>
  </si>
  <si>
    <t>denom =</t>
  </si>
  <si>
    <t>s(slope) =</t>
  </si>
  <si>
    <t>U(n) =</t>
  </si>
  <si>
    <t>solver</t>
  </si>
  <si>
    <t>slope</t>
  </si>
  <si>
    <t>intercept</t>
  </si>
  <si>
    <t>solver SSE</t>
  </si>
  <si>
    <t>Mean</t>
  </si>
  <si>
    <t>D-mean</t>
  </si>
  <si>
    <t>(d-mean)^2</t>
  </si>
  <si>
    <t>sum</t>
  </si>
  <si>
    <t>sqrt</t>
  </si>
  <si>
    <t>s / sqrt(n)</t>
  </si>
  <si>
    <t>% uncert</t>
  </si>
  <si>
    <t>u(D)</t>
  </si>
  <si>
    <t>% uncert in m =</t>
  </si>
  <si>
    <t>% uncert in g =</t>
  </si>
  <si>
    <t>% uncert in h =</t>
  </si>
  <si>
    <t xml:space="preserve">u(E) </t>
  </si>
  <si>
    <t>%</t>
  </si>
  <si>
    <t>Sum of squared errors =</t>
  </si>
  <si>
    <t>LeastSquares</t>
  </si>
  <si>
    <t>10c</t>
  </si>
  <si>
    <t>100n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</si>
</sst>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6"/>
      <name val="Arial"/>
      <family val="2"/>
    </font>
    <font>
      <sz val="20"/>
      <name val="Arial"/>
      <family val="2"/>
    </font>
    <font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lightUp">
        <bgColor indexed="26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11"/>
      </left>
      <right/>
      <top style="thick">
        <color indexed="11"/>
      </top>
      <bottom/>
      <diagonal/>
    </border>
    <border>
      <left/>
      <right style="thick">
        <color indexed="11"/>
      </right>
      <top style="thick">
        <color indexed="11"/>
      </top>
      <bottom/>
      <diagonal/>
    </border>
    <border>
      <left style="thick">
        <color indexed="11"/>
      </left>
      <right/>
      <top/>
      <bottom/>
      <diagonal/>
    </border>
    <border>
      <left/>
      <right style="thick">
        <color indexed="11"/>
      </right>
      <top/>
      <bottom/>
      <diagonal/>
    </border>
    <border>
      <left style="thick">
        <color indexed="11"/>
      </left>
      <right/>
      <top/>
      <bottom style="thick">
        <color indexed="11"/>
      </bottom>
      <diagonal/>
    </border>
    <border>
      <left/>
      <right style="thick">
        <color indexed="11"/>
      </right>
      <top/>
      <bottom style="thick">
        <color indexed="1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176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76" fontId="0" fillId="0" borderId="2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76" fontId="0" fillId="0" borderId="3" xfId="0" applyNumberFormat="1" applyBorder="1" applyAlignment="1">
      <alignment horizontal="center"/>
    </xf>
    <xf numFmtId="176" fontId="0" fillId="0" borderId="0" xfId="0" applyNumberFormat="1" applyBorder="1" applyAlignment="1">
      <alignment horizontal="center"/>
    </xf>
    <xf numFmtId="176" fontId="0" fillId="0" borderId="4" xfId="0" applyNumberFormat="1" applyBorder="1" applyAlignment="1">
      <alignment horizontal="center"/>
    </xf>
    <xf numFmtId="176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quotePrefix="1" applyFont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2" fontId="4" fillId="2" borderId="2" xfId="0" applyNumberFormat="1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625871766029247"/>
          <c:y val="9.895739447663382E-2"/>
          <c:w val="0.81632734407619589"/>
          <c:h val="0.6843864922694084"/>
        </c:manualLayout>
      </c:layout>
      <c:scatterChart>
        <c:scatterStyle val="smooth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8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'Solver Curve Fit'!$A$8:$A$23</c:f>
              <c:numCache>
                <c:formatCode>General</c:formatCode>
                <c:ptCount val="16"/>
                <c:pt idx="0">
                  <c:v>0</c:v>
                </c:pt>
                <c:pt idx="1">
                  <c:v>2.086665E-2</c:v>
                </c:pt>
                <c:pt idx="2">
                  <c:v>2.086665E-2</c:v>
                </c:pt>
                <c:pt idx="3">
                  <c:v>2.086665E-2</c:v>
                </c:pt>
                <c:pt idx="4">
                  <c:v>7.0371840000000019E-2</c:v>
                </c:pt>
                <c:pt idx="5">
                  <c:v>7.0371840000000019E-2</c:v>
                </c:pt>
                <c:pt idx="6">
                  <c:v>7.0371840000000019E-2</c:v>
                </c:pt>
                <c:pt idx="7">
                  <c:v>0.16683324000000002</c:v>
                </c:pt>
                <c:pt idx="8">
                  <c:v>0.16683324000000002</c:v>
                </c:pt>
                <c:pt idx="9">
                  <c:v>0.16683324000000002</c:v>
                </c:pt>
                <c:pt idx="10">
                  <c:v>0.44488864000000006</c:v>
                </c:pt>
                <c:pt idx="11">
                  <c:v>0.44488864000000006</c:v>
                </c:pt>
                <c:pt idx="12">
                  <c:v>0.44488864000000006</c:v>
                </c:pt>
                <c:pt idx="13">
                  <c:v>0.98137200000000013</c:v>
                </c:pt>
                <c:pt idx="14">
                  <c:v>0.98137200000000013</c:v>
                </c:pt>
                <c:pt idx="15">
                  <c:v>0.98137200000000013</c:v>
                </c:pt>
              </c:numCache>
            </c:numRef>
          </c:xVal>
          <c:yVal>
            <c:numRef>
              <c:f>'Solver Curve Fit'!$B$8:$B$23</c:f>
              <c:numCache>
                <c:formatCode>General</c:formatCode>
                <c:ptCount val="16"/>
                <c:pt idx="0">
                  <c:v>0</c:v>
                </c:pt>
                <c:pt idx="1">
                  <c:v>4</c:v>
                </c:pt>
                <c:pt idx="2">
                  <c:v>4</c:v>
                </c:pt>
                <c:pt idx="3">
                  <c:v>3.9</c:v>
                </c:pt>
                <c:pt idx="4">
                  <c:v>5.4</c:v>
                </c:pt>
                <c:pt idx="5">
                  <c:v>5.3</c:v>
                </c:pt>
                <c:pt idx="6">
                  <c:v>5</c:v>
                </c:pt>
                <c:pt idx="7">
                  <c:v>6.4</c:v>
                </c:pt>
                <c:pt idx="8">
                  <c:v>6.4</c:v>
                </c:pt>
                <c:pt idx="9">
                  <c:v>6.2</c:v>
                </c:pt>
                <c:pt idx="10">
                  <c:v>8.1999999999999993</c:v>
                </c:pt>
                <c:pt idx="11">
                  <c:v>7.8</c:v>
                </c:pt>
                <c:pt idx="12">
                  <c:v>7.9</c:v>
                </c:pt>
                <c:pt idx="13">
                  <c:v>10.4</c:v>
                </c:pt>
                <c:pt idx="14">
                  <c:v>10</c:v>
                </c:pt>
                <c:pt idx="15">
                  <c:v>10.1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A9C-426B-8856-F22ECF9DB99C}"/>
            </c:ext>
          </c:extLst>
        </c:ser>
        <c:ser>
          <c:idx val="1"/>
          <c:order val="1"/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'Solver Curve Fit'!$A$8:$A$23</c:f>
              <c:numCache>
                <c:formatCode>General</c:formatCode>
                <c:ptCount val="16"/>
                <c:pt idx="0">
                  <c:v>0</c:v>
                </c:pt>
                <c:pt idx="1">
                  <c:v>2.086665E-2</c:v>
                </c:pt>
                <c:pt idx="2">
                  <c:v>2.086665E-2</c:v>
                </c:pt>
                <c:pt idx="3">
                  <c:v>2.086665E-2</c:v>
                </c:pt>
                <c:pt idx="4">
                  <c:v>7.0371840000000019E-2</c:v>
                </c:pt>
                <c:pt idx="5">
                  <c:v>7.0371840000000019E-2</c:v>
                </c:pt>
                <c:pt idx="6">
                  <c:v>7.0371840000000019E-2</c:v>
                </c:pt>
                <c:pt idx="7">
                  <c:v>0.16683324000000002</c:v>
                </c:pt>
                <c:pt idx="8">
                  <c:v>0.16683324000000002</c:v>
                </c:pt>
                <c:pt idx="9">
                  <c:v>0.16683324000000002</c:v>
                </c:pt>
                <c:pt idx="10">
                  <c:v>0.44488864000000006</c:v>
                </c:pt>
                <c:pt idx="11">
                  <c:v>0.44488864000000006</c:v>
                </c:pt>
                <c:pt idx="12">
                  <c:v>0.44488864000000006</c:v>
                </c:pt>
                <c:pt idx="13">
                  <c:v>0.98137200000000013</c:v>
                </c:pt>
                <c:pt idx="14">
                  <c:v>0.98137200000000013</c:v>
                </c:pt>
                <c:pt idx="15">
                  <c:v>0.98137200000000013</c:v>
                </c:pt>
              </c:numCache>
            </c:numRef>
          </c:xVal>
          <c:yVal>
            <c:numRef>
              <c:f>'Solver Curve Fit'!$C$8:$C$23</c:f>
              <c:numCache>
                <c:formatCode>General</c:formatCode>
                <c:ptCount val="16"/>
                <c:pt idx="0">
                  <c:v>0</c:v>
                </c:pt>
                <c:pt idx="1">
                  <c:v>2.0581793797839665</c:v>
                </c:pt>
                <c:pt idx="2">
                  <c:v>2.0581793797839665</c:v>
                </c:pt>
                <c:pt idx="3">
                  <c:v>2.0581793797839665</c:v>
                </c:pt>
                <c:pt idx="4">
                  <c:v>3.0368685836991181</c:v>
                </c:pt>
                <c:pt idx="5">
                  <c:v>3.0368685836991181</c:v>
                </c:pt>
                <c:pt idx="6">
                  <c:v>3.0368685836991181</c:v>
                </c:pt>
                <c:pt idx="7">
                  <c:v>4.0030293619902455</c:v>
                </c:pt>
                <c:pt idx="8">
                  <c:v>4.0030293619902455</c:v>
                </c:pt>
                <c:pt idx="9">
                  <c:v>4.0030293619902455</c:v>
                </c:pt>
                <c:pt idx="10">
                  <c:v>5.4789680760821495</c:v>
                </c:pt>
                <c:pt idx="11">
                  <c:v>5.4789680760821495</c:v>
                </c:pt>
                <c:pt idx="12">
                  <c:v>5.4789680760821495</c:v>
                </c:pt>
                <c:pt idx="13">
                  <c:v>7.0574062999768357</c:v>
                </c:pt>
                <c:pt idx="14">
                  <c:v>7.0574062999768357</c:v>
                </c:pt>
                <c:pt idx="15">
                  <c:v>7.0574062999768357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A9C-426B-8856-F22ECF9DB9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1700824"/>
        <c:axId val="489572936"/>
      </c:scatterChart>
      <c:valAx>
        <c:axId val="4917008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 sz="28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E </a:t>
                </a:r>
                <a:r>
                  <a:rPr lang="en-GB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(J)</a:t>
                </a:r>
              </a:p>
            </c:rich>
          </c:tx>
          <c:layout>
            <c:manualLayout>
              <c:xMode val="edge"/>
              <c:yMode val="edge"/>
              <c:x val="0.84693920402806788"/>
              <c:y val="0.830786246058865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489572936"/>
        <c:crosses val="autoZero"/>
        <c:crossBetween val="midCat"/>
      </c:valAx>
      <c:valAx>
        <c:axId val="489572936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l"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 sz="28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D</a:t>
                </a:r>
              </a:p>
              <a:p>
                <a:pPr algn="l"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(cm)</a:t>
                </a:r>
              </a:p>
            </c:rich>
          </c:tx>
          <c:layout>
            <c:manualLayout>
              <c:xMode val="edge"/>
              <c:yMode val="edge"/>
              <c:x val="1.0884353741496598E-2"/>
              <c:y val="0.11627989897489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491700824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ko-KR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647058823529413"/>
          <c:y val="0.11682269645949653"/>
          <c:w val="0.76470588235294112"/>
          <c:h val="0.58878639015586243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'Solver Curve Fit'!$C$8:$C$23</c:f>
              <c:numCache>
                <c:formatCode>General</c:formatCode>
                <c:ptCount val="16"/>
                <c:pt idx="0">
                  <c:v>0</c:v>
                </c:pt>
                <c:pt idx="1">
                  <c:v>2.0581793797839665</c:v>
                </c:pt>
                <c:pt idx="2">
                  <c:v>2.0581793797839665</c:v>
                </c:pt>
                <c:pt idx="3">
                  <c:v>2.0581793797839665</c:v>
                </c:pt>
                <c:pt idx="4">
                  <c:v>3.0368685836991181</c:v>
                </c:pt>
                <c:pt idx="5">
                  <c:v>3.0368685836991181</c:v>
                </c:pt>
                <c:pt idx="6">
                  <c:v>3.0368685836991181</c:v>
                </c:pt>
                <c:pt idx="7">
                  <c:v>4.0030293619902455</c:v>
                </c:pt>
                <c:pt idx="8">
                  <c:v>4.0030293619902455</c:v>
                </c:pt>
                <c:pt idx="9">
                  <c:v>4.0030293619902455</c:v>
                </c:pt>
                <c:pt idx="10">
                  <c:v>5.4789680760821495</c:v>
                </c:pt>
                <c:pt idx="11">
                  <c:v>5.4789680760821495</c:v>
                </c:pt>
                <c:pt idx="12">
                  <c:v>5.4789680760821495</c:v>
                </c:pt>
                <c:pt idx="13">
                  <c:v>7.0574062999768357</c:v>
                </c:pt>
                <c:pt idx="14">
                  <c:v>7.0574062999768357</c:v>
                </c:pt>
                <c:pt idx="15">
                  <c:v>7.0574062999768357</c:v>
                </c:pt>
              </c:numCache>
            </c:numRef>
          </c:xVal>
          <c:yVal>
            <c:numRef>
              <c:f>'Solver Curve Fit'!$E$8:$E$23</c:f>
              <c:numCache>
                <c:formatCode>General</c:formatCode>
                <c:ptCount val="16"/>
                <c:pt idx="0">
                  <c:v>0</c:v>
                </c:pt>
                <c:pt idx="1">
                  <c:v>1.9418206202160335</c:v>
                </c:pt>
                <c:pt idx="2">
                  <c:v>1.9418206202160335</c:v>
                </c:pt>
                <c:pt idx="3">
                  <c:v>1.8418206202160334</c:v>
                </c:pt>
                <c:pt idx="4">
                  <c:v>2.3631314163008823</c:v>
                </c:pt>
                <c:pt idx="5">
                  <c:v>2.2631314163008818</c:v>
                </c:pt>
                <c:pt idx="6">
                  <c:v>1.9631314163008819</c:v>
                </c:pt>
                <c:pt idx="7">
                  <c:v>2.3969706380097549</c:v>
                </c:pt>
                <c:pt idx="8">
                  <c:v>2.3969706380097549</c:v>
                </c:pt>
                <c:pt idx="9">
                  <c:v>2.1969706380097547</c:v>
                </c:pt>
                <c:pt idx="10">
                  <c:v>2.7210319239178498</c:v>
                </c:pt>
                <c:pt idx="11">
                  <c:v>2.3210319239178503</c:v>
                </c:pt>
                <c:pt idx="12">
                  <c:v>2.4210319239178508</c:v>
                </c:pt>
                <c:pt idx="13">
                  <c:v>3.3425937000231647</c:v>
                </c:pt>
                <c:pt idx="14">
                  <c:v>2.9425937000231643</c:v>
                </c:pt>
                <c:pt idx="15">
                  <c:v>3.042593700023164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026-41B6-89E0-E0323C1E56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9573720"/>
        <c:axId val="489574112"/>
      </c:scatterChart>
      <c:valAx>
        <c:axId val="489573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 sz="2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model value of D </a:t>
                </a:r>
                <a:r>
                  <a:rPr lang="en-GB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(cm)</a:t>
                </a:r>
              </a:p>
            </c:rich>
          </c:tx>
          <c:layout>
            <c:manualLayout>
              <c:xMode val="edge"/>
              <c:yMode val="edge"/>
              <c:x val="0.31304812834224599"/>
              <c:y val="0.7969155418072740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489574112"/>
        <c:crosses val="autoZero"/>
        <c:crossBetween val="midCat"/>
      </c:valAx>
      <c:valAx>
        <c:axId val="48957411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 sz="2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Residual </a:t>
                </a:r>
                <a:r>
                  <a:rPr lang="en-GB" sz="1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(cm)</a:t>
                </a:r>
                <a:r>
                  <a:rPr lang="en-GB" sz="20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 </a:t>
                </a:r>
              </a:p>
            </c:rich>
          </c:tx>
          <c:layout>
            <c:manualLayout>
              <c:xMode val="edge"/>
              <c:yMode val="edge"/>
              <c:x val="0"/>
              <c:y val="0.113707817772778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489573720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ko-KR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9808522301025018E-2"/>
          <c:y val="0.11229946524064172"/>
          <c:w val="0.86781771547555131"/>
          <c:h val="0.82352941176470584"/>
        </c:manualLayout>
      </c:layout>
      <c:scatterChart>
        <c:scatterStyle val="smooth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7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'Ln Least Squares'!$D$8:$D$22</c:f>
              <c:numCache>
                <c:formatCode>General</c:formatCode>
                <c:ptCount val="15"/>
                <c:pt idx="0">
                  <c:v>-3.8696030882665577</c:v>
                </c:pt>
                <c:pt idx="1">
                  <c:v>-3.8696030882665577</c:v>
                </c:pt>
                <c:pt idx="2">
                  <c:v>-3.8696030882665577</c:v>
                </c:pt>
                <c:pt idx="3">
                  <c:v>-2.6539620958394798</c:v>
                </c:pt>
                <c:pt idx="4">
                  <c:v>-2.6539620958394798</c:v>
                </c:pt>
                <c:pt idx="5">
                  <c:v>-2.6539620958394798</c:v>
                </c:pt>
                <c:pt idx="6">
                  <c:v>-1.7907605283356873</c:v>
                </c:pt>
                <c:pt idx="7">
                  <c:v>-1.7907605283356873</c:v>
                </c:pt>
                <c:pt idx="8">
                  <c:v>-1.7907605283356873</c:v>
                </c:pt>
                <c:pt idx="9">
                  <c:v>-0.80993127532396103</c:v>
                </c:pt>
                <c:pt idx="10">
                  <c:v>-0.80993127532396103</c:v>
                </c:pt>
                <c:pt idx="11">
                  <c:v>-0.80993127532396103</c:v>
                </c:pt>
                <c:pt idx="12">
                  <c:v>-1.880368640381197E-2</c:v>
                </c:pt>
                <c:pt idx="13">
                  <c:v>-1.880368640381197E-2</c:v>
                </c:pt>
                <c:pt idx="14">
                  <c:v>-1.880368640381197E-2</c:v>
                </c:pt>
              </c:numCache>
            </c:numRef>
          </c:xVal>
          <c:yVal>
            <c:numRef>
              <c:f>'Ln Least Squares'!$E$8:$E$22</c:f>
              <c:numCache>
                <c:formatCode>General</c:formatCode>
                <c:ptCount val="15"/>
                <c:pt idx="0">
                  <c:v>-3.2188758248682006</c:v>
                </c:pt>
                <c:pt idx="1">
                  <c:v>-3.2188758248682006</c:v>
                </c:pt>
                <c:pt idx="2">
                  <c:v>-3.2441936328524905</c:v>
                </c:pt>
                <c:pt idx="3">
                  <c:v>-2.9187712324178627</c:v>
                </c:pt>
                <c:pt idx="4">
                  <c:v>-2.9374633654300153</c:v>
                </c:pt>
                <c:pt idx="5">
                  <c:v>-2.9957322735539909</c:v>
                </c:pt>
                <c:pt idx="6">
                  <c:v>-2.7488721956224653</c:v>
                </c:pt>
                <c:pt idx="7">
                  <c:v>-2.7488721956224653</c:v>
                </c:pt>
                <c:pt idx="8">
                  <c:v>-2.7806208939370456</c:v>
                </c:pt>
                <c:pt idx="9">
                  <c:v>-2.5010360317178839</c:v>
                </c:pt>
                <c:pt idx="10">
                  <c:v>-2.5510464522925451</c:v>
                </c:pt>
                <c:pt idx="11">
                  <c:v>-2.5383074265151158</c:v>
                </c:pt>
                <c:pt idx="12">
                  <c:v>-2.2633643798407643</c:v>
                </c:pt>
                <c:pt idx="13">
                  <c:v>-2.3025850929940455</c:v>
                </c:pt>
                <c:pt idx="14">
                  <c:v>-2.2926347621408776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99-4E7E-BCBE-CF65F4D6F168}"/>
            </c:ext>
          </c:extLst>
        </c:ser>
        <c:ser>
          <c:idx val="1"/>
          <c:order val="1"/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'Ln Least Squares'!$D$8:$D$22</c:f>
              <c:numCache>
                <c:formatCode>General</c:formatCode>
                <c:ptCount val="15"/>
                <c:pt idx="0">
                  <c:v>-3.8696030882665577</c:v>
                </c:pt>
                <c:pt idx="1">
                  <c:v>-3.8696030882665577</c:v>
                </c:pt>
                <c:pt idx="2">
                  <c:v>-3.8696030882665577</c:v>
                </c:pt>
                <c:pt idx="3">
                  <c:v>-2.6539620958394798</c:v>
                </c:pt>
                <c:pt idx="4">
                  <c:v>-2.6539620958394798</c:v>
                </c:pt>
                <c:pt idx="5">
                  <c:v>-2.6539620958394798</c:v>
                </c:pt>
                <c:pt idx="6">
                  <c:v>-1.7907605283356873</c:v>
                </c:pt>
                <c:pt idx="7">
                  <c:v>-1.7907605283356873</c:v>
                </c:pt>
                <c:pt idx="8">
                  <c:v>-1.7907605283356873</c:v>
                </c:pt>
                <c:pt idx="9">
                  <c:v>-0.80993127532396103</c:v>
                </c:pt>
                <c:pt idx="10">
                  <c:v>-0.80993127532396103</c:v>
                </c:pt>
                <c:pt idx="11">
                  <c:v>-0.80993127532396103</c:v>
                </c:pt>
                <c:pt idx="12">
                  <c:v>-1.880368640381197E-2</c:v>
                </c:pt>
                <c:pt idx="13">
                  <c:v>-1.880368640381197E-2</c:v>
                </c:pt>
                <c:pt idx="14">
                  <c:v>-1.880368640381197E-2</c:v>
                </c:pt>
              </c:numCache>
            </c:numRef>
          </c:xVal>
          <c:yVal>
            <c:numRef>
              <c:f>'Ln Least Squares'!$H$8:$H$22</c:f>
              <c:numCache>
                <c:formatCode>General</c:formatCode>
                <c:ptCount val="15"/>
                <c:pt idx="0">
                  <c:v>-3.2414990812378708</c:v>
                </c:pt>
                <c:pt idx="1">
                  <c:v>-3.2414990812378708</c:v>
                </c:pt>
                <c:pt idx="2">
                  <c:v>-3.2414990812378708</c:v>
                </c:pt>
                <c:pt idx="3">
                  <c:v>-2.9492025520842171</c:v>
                </c:pt>
                <c:pt idx="4">
                  <c:v>-2.9492025520842171</c:v>
                </c:pt>
                <c:pt idx="5">
                  <c:v>-2.9492025520842171</c:v>
                </c:pt>
                <c:pt idx="6">
                  <c:v>-2.7416488222304691</c:v>
                </c:pt>
                <c:pt idx="7">
                  <c:v>-2.7416488222304691</c:v>
                </c:pt>
                <c:pt idx="8">
                  <c:v>-2.7416488222304691</c:v>
                </c:pt>
                <c:pt idx="9">
                  <c:v>-2.5058119360661557</c:v>
                </c:pt>
                <c:pt idx="10">
                  <c:v>-2.5058119360661557</c:v>
                </c:pt>
                <c:pt idx="11">
                  <c:v>-2.5058119360661557</c:v>
                </c:pt>
                <c:pt idx="12">
                  <c:v>-2.3155881366059465</c:v>
                </c:pt>
                <c:pt idx="13">
                  <c:v>-2.3155881366059465</c:v>
                </c:pt>
                <c:pt idx="14">
                  <c:v>-2.3155881366059465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99-4E7E-BCBE-CF65F4D6F168}"/>
            </c:ext>
          </c:extLst>
        </c:ser>
        <c:ser>
          <c:idx val="2"/>
          <c:order val="2"/>
          <c:spPr>
            <a:ln w="25400">
              <a:solidFill>
                <a:srgbClr val="0000FF"/>
              </a:solidFill>
              <a:prstDash val="lgDashDot"/>
            </a:ln>
          </c:spPr>
          <c:marker>
            <c:symbol val="none"/>
          </c:marker>
          <c:xVal>
            <c:numRef>
              <c:f>'Ln Least Squares'!$D$8:$D$22</c:f>
              <c:numCache>
                <c:formatCode>General</c:formatCode>
                <c:ptCount val="15"/>
                <c:pt idx="0">
                  <c:v>-3.8696030882665577</c:v>
                </c:pt>
                <c:pt idx="1">
                  <c:v>-3.8696030882665577</c:v>
                </c:pt>
                <c:pt idx="2">
                  <c:v>-3.8696030882665577</c:v>
                </c:pt>
                <c:pt idx="3">
                  <c:v>-2.6539620958394798</c:v>
                </c:pt>
                <c:pt idx="4">
                  <c:v>-2.6539620958394798</c:v>
                </c:pt>
                <c:pt idx="5">
                  <c:v>-2.6539620958394798</c:v>
                </c:pt>
                <c:pt idx="6">
                  <c:v>-1.7907605283356873</c:v>
                </c:pt>
                <c:pt idx="7">
                  <c:v>-1.7907605283356873</c:v>
                </c:pt>
                <c:pt idx="8">
                  <c:v>-1.7907605283356873</c:v>
                </c:pt>
                <c:pt idx="9">
                  <c:v>-0.80993127532396103</c:v>
                </c:pt>
                <c:pt idx="10">
                  <c:v>-0.80993127532396103</c:v>
                </c:pt>
                <c:pt idx="11">
                  <c:v>-0.80993127532396103</c:v>
                </c:pt>
                <c:pt idx="12">
                  <c:v>-1.880368640381197E-2</c:v>
                </c:pt>
                <c:pt idx="13">
                  <c:v>-1.880368640381197E-2</c:v>
                </c:pt>
                <c:pt idx="14">
                  <c:v>-1.880368640381197E-2</c:v>
                </c:pt>
              </c:numCache>
            </c:numRef>
          </c:xVal>
          <c:yVal>
            <c:numRef>
              <c:f>'Ln Least Squares'!$J$8:$J$22</c:f>
              <c:numCache>
                <c:formatCode>General</c:formatCode>
                <c:ptCount val="15"/>
                <c:pt idx="0">
                  <c:v>-3.2414997391135776</c:v>
                </c:pt>
                <c:pt idx="1">
                  <c:v>-3.2414997391135776</c:v>
                </c:pt>
                <c:pt idx="2">
                  <c:v>-3.2414997391135776</c:v>
                </c:pt>
                <c:pt idx="3">
                  <c:v>-2.9492030796318778</c:v>
                </c:pt>
                <c:pt idx="4">
                  <c:v>-2.9492030796318778</c:v>
                </c:pt>
                <c:pt idx="5">
                  <c:v>-2.9492030796318778</c:v>
                </c:pt>
                <c:pt idx="6">
                  <c:v>-2.7416492572348754</c:v>
                </c:pt>
                <c:pt idx="7">
                  <c:v>-2.7416492572348754</c:v>
                </c:pt>
                <c:pt idx="8">
                  <c:v>-2.7416492572348754</c:v>
                </c:pt>
                <c:pt idx="9">
                  <c:v>-2.5058122659165227</c:v>
                </c:pt>
                <c:pt idx="10">
                  <c:v>-2.5058122659165227</c:v>
                </c:pt>
                <c:pt idx="11">
                  <c:v>-2.5058122659165227</c:v>
                </c:pt>
                <c:pt idx="12">
                  <c:v>-2.3155883816400613</c:v>
                </c:pt>
                <c:pt idx="13">
                  <c:v>-2.3155883816400613</c:v>
                </c:pt>
                <c:pt idx="14">
                  <c:v>-2.3155883816400613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99-4E7E-BCBE-CF65F4D6F1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9542288"/>
        <c:axId val="459542680"/>
      </c:scatterChart>
      <c:valAx>
        <c:axId val="45954228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459542680"/>
        <c:crosses val="autoZero"/>
        <c:crossBetween val="midCat"/>
      </c:valAx>
      <c:valAx>
        <c:axId val="4595426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459542288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ko-KR"/>
    </a:p>
  </c:txPr>
  <c:printSettings>
    <c:headerFooter alignWithMargins="0"/>
    <c:pageMargins b="1" l="0.75" r="0.75" t="1" header="0.5" footer="0.5"/>
    <c:pageSetup/>
  </c:printSettings>
</c:chartSpace>
</file>

<file path=xl/ctrlProps/ctrlProp1.xml><?xml version="1.0" encoding="utf-8"?>
<formControlPr xmlns="http://schemas.microsoft.com/office/spreadsheetml/2009/9/main" objectType="Scroll" dx="15" fmlaLink="$B$43" max="200" min="1" noThreeD="1" page="10" val="71"/>
</file>

<file path=xl/ctrlProps/ctrlProp2.xml><?xml version="1.0" encoding="utf-8"?>
<formControlPr xmlns="http://schemas.microsoft.com/office/spreadsheetml/2009/9/main" objectType="Scroll" dx="15" fmlaLink="$D$43" max="40" min="1" noThreeD="1" page="10" val="32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400050</xdr:colOff>
      <xdr:row>1</xdr:row>
      <xdr:rowOff>19050</xdr:rowOff>
    </xdr:from>
    <xdr:to>
      <xdr:col>13</xdr:col>
      <xdr:colOff>190500</xdr:colOff>
      <xdr:row>18</xdr:row>
      <xdr:rowOff>114300</xdr:rowOff>
    </xdr:to>
    <xdr:graphicFrame macro="">
      <xdr:nvGraphicFramePr>
        <xdr:cNvPr id="2065" name="Chart 1">
          <a:extLst>
            <a:ext uri="{FF2B5EF4-FFF2-40B4-BE49-F238E27FC236}">
              <a16:creationId xmlns:a16="http://schemas.microsoft.com/office/drawing/2014/main" id="{00000000-0008-0000-0200-00001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142875</xdr:colOff>
      <xdr:row>19</xdr:row>
      <xdr:rowOff>114300</xdr:rowOff>
    </xdr:from>
    <xdr:to>
      <xdr:col>12</xdr:col>
      <xdr:colOff>47625</xdr:colOff>
      <xdr:row>32</xdr:row>
      <xdr:rowOff>19050</xdr:rowOff>
    </xdr:to>
    <xdr:graphicFrame macro="">
      <xdr:nvGraphicFramePr>
        <xdr:cNvPr id="2066" name="Chart 2">
          <a:extLst>
            <a:ext uri="{FF2B5EF4-FFF2-40B4-BE49-F238E27FC236}">
              <a16:creationId xmlns:a16="http://schemas.microsoft.com/office/drawing/2014/main" id="{00000000-0008-0000-0200-000012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30480</xdr:rowOff>
        </xdr:from>
        <xdr:to>
          <xdr:col>1</xdr:col>
          <xdr:colOff>609600</xdr:colOff>
          <xdr:row>40</xdr:row>
          <xdr:rowOff>152400</xdr:rowOff>
        </xdr:to>
        <xdr:sp macro="" textlink="">
          <xdr:nvSpPr>
            <xdr:cNvPr id="2051" name="Scroll Bar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30480</xdr:rowOff>
        </xdr:from>
        <xdr:to>
          <xdr:col>3</xdr:col>
          <xdr:colOff>609600</xdr:colOff>
          <xdr:row>40</xdr:row>
          <xdr:rowOff>152400</xdr:rowOff>
        </xdr:to>
        <xdr:sp macro="" textlink="">
          <xdr:nvSpPr>
            <xdr:cNvPr id="2052" name="Scroll Bar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409575</xdr:colOff>
      <xdr:row>2</xdr:row>
      <xdr:rowOff>123825</xdr:rowOff>
    </xdr:from>
    <xdr:to>
      <xdr:col>19</xdr:col>
      <xdr:colOff>504825</xdr:colOff>
      <xdr:row>24</xdr:row>
      <xdr:rowOff>104775</xdr:rowOff>
    </xdr:to>
    <xdr:graphicFrame macro="">
      <xdr:nvGraphicFramePr>
        <xdr:cNvPr id="3087" name="Chart 1">
          <a:extLst>
            <a:ext uri="{FF2B5EF4-FFF2-40B4-BE49-F238E27FC236}">
              <a16:creationId xmlns:a16="http://schemas.microsoft.com/office/drawing/2014/main" id="{00000000-0008-0000-0300-00000F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600075</xdr:colOff>
      <xdr:row>0</xdr:row>
      <xdr:rowOff>123825</xdr:rowOff>
    </xdr:from>
    <xdr:to>
      <xdr:col>7</xdr:col>
      <xdr:colOff>0</xdr:colOff>
      <xdr:row>22</xdr:row>
      <xdr:rowOff>114300</xdr:rowOff>
    </xdr:to>
    <xdr:sp macro="" textlink="">
      <xdr:nvSpPr>
        <xdr:cNvPr id="3088" name="Line 2">
          <a:extLst>
            <a:ext uri="{FF2B5EF4-FFF2-40B4-BE49-F238E27FC236}">
              <a16:creationId xmlns:a16="http://schemas.microsoft.com/office/drawing/2014/main" id="{00000000-0008-0000-0300-0000100C0000}"/>
            </a:ext>
          </a:extLst>
        </xdr:cNvPr>
        <xdr:cNvSpPr>
          <a:spLocks noChangeShapeType="1"/>
        </xdr:cNvSpPr>
      </xdr:nvSpPr>
      <xdr:spPr bwMode="auto">
        <a:xfrm>
          <a:off x="3790950" y="123825"/>
          <a:ext cx="9525" cy="3590925"/>
        </a:xfrm>
        <a:prstGeom prst="line">
          <a:avLst/>
        </a:prstGeom>
        <a:noFill/>
        <a:ln w="5715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3"/>
  <sheetViews>
    <sheetView workbookViewId="0">
      <selection activeCell="M4" sqref="M4"/>
    </sheetView>
  </sheetViews>
  <sheetFormatPr defaultRowHeight="13.2" x14ac:dyDescent="0.25"/>
  <cols>
    <col min="1" max="1" width="9.109375" style="1"/>
    <col min="2" max="2" width="11" style="1" customWidth="1"/>
    <col min="3" max="7" width="9.109375" style="1"/>
    <col min="8" max="8" width="9.109375" style="17"/>
    <col min="9" max="9" width="12" style="1" bestFit="1" customWidth="1"/>
    <col min="10" max="11" width="9.109375" style="1"/>
  </cols>
  <sheetData>
    <row r="1" spans="1:13" x14ac:dyDescent="0.25">
      <c r="A1" s="10" t="s">
        <v>15</v>
      </c>
      <c r="C1" s="10" t="s">
        <v>6</v>
      </c>
    </row>
    <row r="2" spans="1:13" x14ac:dyDescent="0.25">
      <c r="A2" s="11" t="s">
        <v>16</v>
      </c>
      <c r="C2" s="11" t="s">
        <v>7</v>
      </c>
    </row>
    <row r="3" spans="1:13" ht="13.8" thickBot="1" x14ac:dyDescent="0.3">
      <c r="A3" s="16">
        <v>9.8000000000000007</v>
      </c>
      <c r="C3" s="11" t="s">
        <v>11</v>
      </c>
    </row>
    <row r="4" spans="1:13" ht="13.8" thickBot="1" x14ac:dyDescent="0.3">
      <c r="C4" s="11" t="s">
        <v>8</v>
      </c>
      <c r="D4" s="10" t="s">
        <v>12</v>
      </c>
    </row>
    <row r="5" spans="1:13" x14ac:dyDescent="0.25">
      <c r="A5" s="10" t="s">
        <v>0</v>
      </c>
      <c r="B5" s="13" t="s">
        <v>3</v>
      </c>
      <c r="C5" s="11" t="s">
        <v>7</v>
      </c>
      <c r="D5" s="11" t="s">
        <v>13</v>
      </c>
      <c r="L5" s="1" t="s">
        <v>51</v>
      </c>
      <c r="M5" s="10" t="s">
        <v>51</v>
      </c>
    </row>
    <row r="6" spans="1:13" x14ac:dyDescent="0.25">
      <c r="A6" s="11" t="s">
        <v>1</v>
      </c>
      <c r="B6" s="14" t="s">
        <v>4</v>
      </c>
      <c r="C6" s="11" t="s">
        <v>9</v>
      </c>
      <c r="D6" s="11" t="s">
        <v>14</v>
      </c>
      <c r="G6" s="1" t="s">
        <v>44</v>
      </c>
      <c r="H6" s="17" t="s">
        <v>45</v>
      </c>
      <c r="I6" s="1" t="s">
        <v>46</v>
      </c>
      <c r="J6" s="1" t="s">
        <v>47</v>
      </c>
      <c r="K6" s="1" t="s">
        <v>48</v>
      </c>
      <c r="L6" s="1" t="s">
        <v>49</v>
      </c>
      <c r="M6" s="11" t="s">
        <v>50</v>
      </c>
    </row>
    <row r="7" spans="1:13" ht="13.8" thickBot="1" x14ac:dyDescent="0.3">
      <c r="A7" s="12" t="s">
        <v>2</v>
      </c>
      <c r="B7" s="15" t="s">
        <v>5</v>
      </c>
      <c r="C7" s="12" t="s">
        <v>10</v>
      </c>
      <c r="D7" s="12" t="s">
        <v>5</v>
      </c>
      <c r="M7" s="22"/>
    </row>
    <row r="8" spans="1:13" x14ac:dyDescent="0.25">
      <c r="A8" s="10">
        <v>8.35</v>
      </c>
      <c r="B8" s="3">
        <v>25.5</v>
      </c>
      <c r="C8" s="10">
        <f>$A$3*(A8/1000)*(B8/100)</f>
        <v>2.086665E-2</v>
      </c>
      <c r="D8" s="4">
        <v>4</v>
      </c>
      <c r="G8" s="1">
        <f>SUM(D8:D10)/3</f>
        <v>3.9666666666666668</v>
      </c>
      <c r="H8" s="17">
        <f>D8-$G$8</f>
        <v>3.3333333333333215E-2</v>
      </c>
      <c r="I8" s="1">
        <f>H8^2</f>
        <v>1.1111111111111033E-3</v>
      </c>
      <c r="J8" s="1">
        <f>SUM(I8:I11)</f>
        <v>6.6666666666666784E-3</v>
      </c>
      <c r="K8" s="1">
        <f>SQRT(J8/2)</f>
        <v>5.773502691896263E-2</v>
      </c>
      <c r="L8" s="1">
        <f>K8/SQRT(3)</f>
        <v>3.3333333333333368E-2</v>
      </c>
      <c r="M8" s="22">
        <f>100*L8/G8</f>
        <v>0.8403361344537823</v>
      </c>
    </row>
    <row r="9" spans="1:13" x14ac:dyDescent="0.25">
      <c r="A9" s="11">
        <v>8.35</v>
      </c>
      <c r="B9" s="5">
        <v>25.5</v>
      </c>
      <c r="C9" s="11">
        <f t="shared" ref="C9:C26" si="0">$A$3*(A9/1000)*(B9/100)</f>
        <v>2.086665E-2</v>
      </c>
      <c r="D9" s="6">
        <v>4</v>
      </c>
      <c r="H9" s="17">
        <f>D9-$G$8</f>
        <v>3.3333333333333215E-2</v>
      </c>
      <c r="I9" s="1">
        <f>H9^2</f>
        <v>1.1111111111111033E-3</v>
      </c>
      <c r="M9" s="22"/>
    </row>
    <row r="10" spans="1:13" x14ac:dyDescent="0.25">
      <c r="A10" s="11">
        <v>8.35</v>
      </c>
      <c r="B10" s="5">
        <v>25.5</v>
      </c>
      <c r="C10" s="11">
        <f t="shared" si="0"/>
        <v>2.086665E-2</v>
      </c>
      <c r="D10" s="6">
        <v>3.9</v>
      </c>
      <c r="H10" s="17">
        <f>D10-$G$8</f>
        <v>-6.6666666666666874E-2</v>
      </c>
      <c r="I10" s="1">
        <f>H10^2</f>
        <v>4.4444444444444722E-3</v>
      </c>
      <c r="M10" s="22"/>
    </row>
    <row r="11" spans="1:13" x14ac:dyDescent="0.25">
      <c r="A11" s="11"/>
      <c r="B11" s="5"/>
      <c r="C11" s="11"/>
      <c r="D11" s="6"/>
      <c r="M11" s="22"/>
    </row>
    <row r="12" spans="1:13" x14ac:dyDescent="0.25">
      <c r="A12" s="11">
        <v>28.16</v>
      </c>
      <c r="B12" s="5">
        <v>25.5</v>
      </c>
      <c r="C12" s="11">
        <f t="shared" si="0"/>
        <v>7.0371840000000019E-2</v>
      </c>
      <c r="D12" s="6">
        <v>5.4</v>
      </c>
      <c r="G12" s="1">
        <f>SUM(D12:D14)/3</f>
        <v>5.2333333333333334</v>
      </c>
      <c r="H12" s="17">
        <f>D12-$G$12</f>
        <v>0.16666666666666696</v>
      </c>
      <c r="I12" s="1">
        <f>H12^2</f>
        <v>2.7777777777777877E-2</v>
      </c>
      <c r="J12" s="1">
        <f>SUM(I12:I15)</f>
        <v>8.6666666666666753E-2</v>
      </c>
      <c r="K12" s="1">
        <f>SQRT(J12/2)</f>
        <v>0.20816659994661338</v>
      </c>
      <c r="L12" s="1">
        <f>K12/SQRT(3)</f>
        <v>0.12018504251546638</v>
      </c>
      <c r="M12" s="22">
        <f>100*L12/G12</f>
        <v>2.2965294748178287</v>
      </c>
    </row>
    <row r="13" spans="1:13" x14ac:dyDescent="0.25">
      <c r="A13" s="11">
        <v>28.16</v>
      </c>
      <c r="B13" s="5">
        <v>25.5</v>
      </c>
      <c r="C13" s="11">
        <f t="shared" si="0"/>
        <v>7.0371840000000019E-2</v>
      </c>
      <c r="D13" s="6">
        <v>5.3</v>
      </c>
      <c r="H13" s="17">
        <f>D13-$G$12</f>
        <v>6.666666666666643E-2</v>
      </c>
      <c r="I13" s="1">
        <f>H13^2</f>
        <v>4.4444444444444132E-3</v>
      </c>
      <c r="M13" s="22"/>
    </row>
    <row r="14" spans="1:13" x14ac:dyDescent="0.25">
      <c r="A14" s="11">
        <v>28.16</v>
      </c>
      <c r="B14" s="5">
        <v>25.5</v>
      </c>
      <c r="C14" s="11">
        <f t="shared" si="0"/>
        <v>7.0371840000000019E-2</v>
      </c>
      <c r="D14" s="6">
        <v>5</v>
      </c>
      <c r="H14" s="17">
        <f>D14-$G$12</f>
        <v>-0.23333333333333339</v>
      </c>
      <c r="I14" s="1">
        <f>H14^2</f>
        <v>5.4444444444444469E-2</v>
      </c>
      <c r="M14" s="22"/>
    </row>
    <row r="15" spans="1:13" x14ac:dyDescent="0.25">
      <c r="A15" s="11"/>
      <c r="B15" s="5"/>
      <c r="C15" s="11"/>
      <c r="D15" s="6"/>
      <c r="M15" s="22"/>
    </row>
    <row r="16" spans="1:13" x14ac:dyDescent="0.25">
      <c r="A16" s="11">
        <v>66.760000000000005</v>
      </c>
      <c r="B16" s="5">
        <v>25.5</v>
      </c>
      <c r="C16" s="11">
        <f t="shared" si="0"/>
        <v>0.16683324000000002</v>
      </c>
      <c r="D16" s="6">
        <v>6.4</v>
      </c>
      <c r="G16" s="1">
        <f>SUM(D16:D18)/3</f>
        <v>6.333333333333333</v>
      </c>
      <c r="H16" s="17">
        <f>D16-$G$16</f>
        <v>6.6666666666667318E-2</v>
      </c>
      <c r="I16" s="1">
        <f>H16^2</f>
        <v>4.4444444444445312E-3</v>
      </c>
      <c r="J16" s="1">
        <f>SUM(I16:I19)</f>
        <v>2.6666666666666713E-2</v>
      </c>
      <c r="K16" s="1">
        <f>SQRT(J16/2)</f>
        <v>0.11547005383792526</v>
      </c>
      <c r="L16" s="1">
        <f>K16/SQRT(3)</f>
        <v>6.6666666666666735E-2</v>
      </c>
      <c r="M16" s="22">
        <f>100*L16/G16</f>
        <v>1.0526315789473695</v>
      </c>
    </row>
    <row r="17" spans="1:13" x14ac:dyDescent="0.25">
      <c r="A17" s="11">
        <v>66.760000000000005</v>
      </c>
      <c r="B17" s="5">
        <v>25.5</v>
      </c>
      <c r="C17" s="11">
        <f t="shared" si="0"/>
        <v>0.16683324000000002</v>
      </c>
      <c r="D17" s="6">
        <v>6.4</v>
      </c>
      <c r="H17" s="17">
        <f>D17-$G$16</f>
        <v>6.6666666666667318E-2</v>
      </c>
      <c r="I17" s="1">
        <f>H17^2</f>
        <v>4.4444444444445312E-3</v>
      </c>
      <c r="M17" s="22"/>
    </row>
    <row r="18" spans="1:13" x14ac:dyDescent="0.25">
      <c r="A18" s="11">
        <v>66.760000000000005</v>
      </c>
      <c r="B18" s="5">
        <v>25.5</v>
      </c>
      <c r="C18" s="11">
        <f t="shared" si="0"/>
        <v>0.16683324000000002</v>
      </c>
      <c r="D18" s="6">
        <v>6.2</v>
      </c>
      <c r="H18" s="17">
        <f>D18-$G$16</f>
        <v>-0.13333333333333286</v>
      </c>
      <c r="I18" s="1">
        <f>H18^2</f>
        <v>1.7777777777777653E-2</v>
      </c>
      <c r="M18" s="22"/>
    </row>
    <row r="19" spans="1:13" x14ac:dyDescent="0.25">
      <c r="A19" s="11"/>
      <c r="B19" s="5"/>
      <c r="C19" s="11"/>
      <c r="D19" s="6"/>
      <c r="M19" s="22"/>
    </row>
    <row r="20" spans="1:13" x14ac:dyDescent="0.25">
      <c r="A20" s="11">
        <v>66.760000000000005</v>
      </c>
      <c r="B20" s="7">
        <v>68</v>
      </c>
      <c r="C20" s="11">
        <f t="shared" si="0"/>
        <v>0.44488864000000006</v>
      </c>
      <c r="D20" s="6">
        <v>8.1999999999999993</v>
      </c>
      <c r="G20" s="1">
        <f>SUM(D20:D22)/3</f>
        <v>7.9666666666666659</v>
      </c>
      <c r="H20" s="17">
        <f>D20-$G$20</f>
        <v>0.23333333333333339</v>
      </c>
      <c r="I20" s="1">
        <f>H20^2</f>
        <v>5.4444444444444469E-2</v>
      </c>
      <c r="J20" s="1">
        <f>SUM(I20:I23)</f>
        <v>8.666666666666635E-2</v>
      </c>
      <c r="K20" s="1">
        <f>SQRT(J20/2)</f>
        <v>0.20816659994661291</v>
      </c>
      <c r="L20" s="1">
        <f>K20/SQRT(3)</f>
        <v>0.12018504251546611</v>
      </c>
      <c r="M20" s="22">
        <f>100*L20/G20</f>
        <v>1.5085988600267715</v>
      </c>
    </row>
    <row r="21" spans="1:13" x14ac:dyDescent="0.25">
      <c r="A21" s="11">
        <v>66.760000000000005</v>
      </c>
      <c r="B21" s="7">
        <v>68</v>
      </c>
      <c r="C21" s="11">
        <f t="shared" si="0"/>
        <v>0.44488864000000006</v>
      </c>
      <c r="D21" s="6">
        <v>7.8</v>
      </c>
      <c r="H21" s="17">
        <f>D21-$G$20</f>
        <v>-0.16666666666666607</v>
      </c>
      <c r="I21" s="1">
        <f>H21^2</f>
        <v>2.7777777777777582E-2</v>
      </c>
      <c r="M21" s="22"/>
    </row>
    <row r="22" spans="1:13" x14ac:dyDescent="0.25">
      <c r="A22" s="11">
        <v>66.760000000000005</v>
      </c>
      <c r="B22" s="7">
        <v>68</v>
      </c>
      <c r="C22" s="11">
        <f t="shared" si="0"/>
        <v>0.44488864000000006</v>
      </c>
      <c r="D22" s="6">
        <v>7.9</v>
      </c>
      <c r="H22" s="17">
        <f>D22-$G$20</f>
        <v>-6.6666666666665542E-2</v>
      </c>
      <c r="I22" s="1">
        <f>H22^2</f>
        <v>4.4444444444442944E-3</v>
      </c>
      <c r="M22" s="22"/>
    </row>
    <row r="23" spans="1:13" x14ac:dyDescent="0.25">
      <c r="A23" s="11"/>
      <c r="B23" s="7"/>
      <c r="C23" s="11"/>
      <c r="D23" s="6"/>
      <c r="M23" s="22"/>
    </row>
    <row r="24" spans="1:13" x14ac:dyDescent="0.25">
      <c r="A24" s="11">
        <v>66.760000000000005</v>
      </c>
      <c r="B24" s="7">
        <v>150</v>
      </c>
      <c r="C24" s="11">
        <f t="shared" si="0"/>
        <v>0.98137200000000013</v>
      </c>
      <c r="D24" s="6">
        <v>10.4</v>
      </c>
      <c r="G24" s="1">
        <f>SUM(D24:D26)/3</f>
        <v>10.166666666666666</v>
      </c>
      <c r="H24" s="17">
        <f>D24-$G$24</f>
        <v>0.23333333333333428</v>
      </c>
      <c r="I24" s="1">
        <f>H24^2</f>
        <v>5.4444444444444885E-2</v>
      </c>
      <c r="J24" s="1">
        <f>SUM(I24:I27)</f>
        <v>8.6666666666666892E-2</v>
      </c>
      <c r="K24" s="1">
        <f>SQRT(J24/2)</f>
        <v>0.20816659994661355</v>
      </c>
      <c r="L24" s="1">
        <f>K24/SQRT(3)</f>
        <v>0.12018504251546647</v>
      </c>
      <c r="M24" s="22">
        <f>100*L24/G24</f>
        <v>1.1821479591685227</v>
      </c>
    </row>
    <row r="25" spans="1:13" x14ac:dyDescent="0.25">
      <c r="A25" s="11">
        <v>66.760000000000005</v>
      </c>
      <c r="B25" s="7">
        <v>150</v>
      </c>
      <c r="C25" s="11">
        <f t="shared" si="0"/>
        <v>0.98137200000000013</v>
      </c>
      <c r="D25" s="6">
        <v>10</v>
      </c>
      <c r="H25" s="17">
        <f>D25-$G$24</f>
        <v>-0.16666666666666607</v>
      </c>
      <c r="I25" s="1">
        <f>H25^2</f>
        <v>2.7777777777777582E-2</v>
      </c>
      <c r="M25" s="22"/>
    </row>
    <row r="26" spans="1:13" ht="13.8" thickBot="1" x14ac:dyDescent="0.3">
      <c r="A26" s="12">
        <v>66.760000000000005</v>
      </c>
      <c r="B26" s="8">
        <v>150</v>
      </c>
      <c r="C26" s="12">
        <f t="shared" si="0"/>
        <v>0.98137200000000013</v>
      </c>
      <c r="D26" s="9">
        <v>10.1</v>
      </c>
      <c r="H26" s="17">
        <f>D26-$G$24</f>
        <v>-6.666666666666643E-2</v>
      </c>
      <c r="I26" s="1">
        <f>H26^2</f>
        <v>4.4444444444444132E-3</v>
      </c>
      <c r="M26" s="23"/>
    </row>
    <row r="27" spans="1:13" x14ac:dyDescent="0.25">
      <c r="B27" s="2"/>
      <c r="D27" s="2"/>
    </row>
    <row r="29" spans="1:13" x14ac:dyDescent="0.25">
      <c r="E29" s="18" t="s">
        <v>52</v>
      </c>
      <c r="G29" s="1">
        <f>100*0.00289/8.35</f>
        <v>3.4610778443113777E-2</v>
      </c>
    </row>
    <row r="30" spans="1:13" x14ac:dyDescent="0.25">
      <c r="E30" s="18" t="s">
        <v>53</v>
      </c>
      <c r="G30" s="1">
        <f>100*0.005/9.8</f>
        <v>5.10204081632653E-2</v>
      </c>
    </row>
    <row r="31" spans="1:13" x14ac:dyDescent="0.25">
      <c r="E31" s="18" t="s">
        <v>54</v>
      </c>
      <c r="G31" s="1">
        <f>100/255</f>
        <v>0.39215686274509803</v>
      </c>
    </row>
    <row r="32" spans="1:13" ht="13.8" thickBot="1" x14ac:dyDescent="0.3"/>
    <row r="33" spans="5:8" ht="13.8" thickBot="1" x14ac:dyDescent="0.3">
      <c r="E33" s="19" t="s">
        <v>55</v>
      </c>
      <c r="F33" s="20"/>
      <c r="G33" s="20">
        <f>SQRT((G29^2)+(G30^2)+(G31^2))</f>
        <v>0.39697354197938955</v>
      </c>
      <c r="H33" s="21" t="s">
        <v>56</v>
      </c>
    </row>
  </sheetData>
  <sheetProtection password="CA77" sheet="1"/>
  <phoneticPr fontId="1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3"/>
  <sheetViews>
    <sheetView showFormulas="1" topLeftCell="E6" workbookViewId="0">
      <selection activeCell="K8" sqref="K8"/>
    </sheetView>
  </sheetViews>
  <sheetFormatPr defaultRowHeight="13.2" x14ac:dyDescent="0.25"/>
  <cols>
    <col min="1" max="1" width="3.5546875" style="1" bestFit="1" customWidth="1"/>
    <col min="2" max="2" width="5.44140625" style="1" bestFit="1" customWidth="1"/>
    <col min="3" max="3" width="12.6640625" style="1" bestFit="1" customWidth="1"/>
    <col min="4" max="4" width="4.33203125" style="1" bestFit="1" customWidth="1"/>
    <col min="5" max="5" width="7.33203125" style="1" bestFit="1" customWidth="1"/>
    <col min="6" max="6" width="2.44140625" style="1" customWidth="1"/>
    <col min="7" max="7" width="15.109375" style="1" bestFit="1" customWidth="1"/>
    <col min="8" max="8" width="5.88671875" style="17" bestFit="1" customWidth="1"/>
    <col min="9" max="9" width="5.109375" style="1" bestFit="1" customWidth="1"/>
    <col min="10" max="10" width="6.5546875" style="1" bestFit="1" customWidth="1"/>
    <col min="11" max="11" width="6.44140625" style="1" bestFit="1" customWidth="1"/>
    <col min="12" max="12" width="6.6640625" bestFit="1" customWidth="1"/>
    <col min="13" max="13" width="6.5546875" bestFit="1" customWidth="1"/>
  </cols>
  <sheetData>
    <row r="1" spans="1:13" x14ac:dyDescent="0.25">
      <c r="A1" s="10" t="s">
        <v>15</v>
      </c>
      <c r="C1" s="10" t="s">
        <v>6</v>
      </c>
    </row>
    <row r="2" spans="1:13" x14ac:dyDescent="0.25">
      <c r="A2" s="11" t="s">
        <v>16</v>
      </c>
      <c r="C2" s="11" t="s">
        <v>7</v>
      </c>
    </row>
    <row r="3" spans="1:13" ht="13.8" thickBot="1" x14ac:dyDescent="0.3">
      <c r="A3" s="16">
        <v>9.8000000000000007</v>
      </c>
      <c r="C3" s="11" t="s">
        <v>11</v>
      </c>
    </row>
    <row r="4" spans="1:13" ht="13.8" thickBot="1" x14ac:dyDescent="0.3">
      <c r="C4" s="11" t="s">
        <v>8</v>
      </c>
      <c r="D4" s="10" t="s">
        <v>12</v>
      </c>
    </row>
    <row r="5" spans="1:13" x14ac:dyDescent="0.25">
      <c r="A5" s="10" t="s">
        <v>0</v>
      </c>
      <c r="B5" s="13" t="s">
        <v>3</v>
      </c>
      <c r="C5" s="11" t="s">
        <v>7</v>
      </c>
      <c r="D5" s="11" t="s">
        <v>13</v>
      </c>
      <c r="L5" s="1" t="s">
        <v>51</v>
      </c>
      <c r="M5" s="10" t="s">
        <v>51</v>
      </c>
    </row>
    <row r="6" spans="1:13" x14ac:dyDescent="0.25">
      <c r="A6" s="11" t="s">
        <v>1</v>
      </c>
      <c r="B6" s="14" t="s">
        <v>4</v>
      </c>
      <c r="C6" s="11" t="s">
        <v>9</v>
      </c>
      <c r="D6" s="11" t="s">
        <v>14</v>
      </c>
      <c r="G6" s="1" t="s">
        <v>44</v>
      </c>
      <c r="H6" s="17" t="s">
        <v>45</v>
      </c>
      <c r="I6" s="1" t="s">
        <v>46</v>
      </c>
      <c r="J6" s="1" t="s">
        <v>47</v>
      </c>
      <c r="K6" s="1" t="s">
        <v>48</v>
      </c>
      <c r="L6" s="1" t="s">
        <v>49</v>
      </c>
      <c r="M6" s="11" t="s">
        <v>50</v>
      </c>
    </row>
    <row r="7" spans="1:13" ht="13.8" thickBot="1" x14ac:dyDescent="0.3">
      <c r="A7" s="12" t="s">
        <v>2</v>
      </c>
      <c r="B7" s="15" t="s">
        <v>5</v>
      </c>
      <c r="C7" s="12" t="s">
        <v>10</v>
      </c>
      <c r="D7" s="12" t="s">
        <v>5</v>
      </c>
      <c r="M7" s="22"/>
    </row>
    <row r="8" spans="1:13" x14ac:dyDescent="0.25">
      <c r="A8" s="10">
        <v>8.35</v>
      </c>
      <c r="B8" s="3">
        <v>25.5</v>
      </c>
      <c r="C8" s="10">
        <f>$A$3*(A8/1000)*(B8/100)</f>
        <v>2.086665E-2</v>
      </c>
      <c r="D8" s="4">
        <v>4</v>
      </c>
      <c r="G8" s="1">
        <f>SUM(D8:D10)/3</f>
        <v>3.9666666666666668</v>
      </c>
      <c r="H8" s="17">
        <f>D8-$G$8</f>
        <v>3.3333333333333215E-2</v>
      </c>
      <c r="I8" s="1">
        <f>H8^2</f>
        <v>1.1111111111111033E-3</v>
      </c>
      <c r="J8" s="1">
        <f>SUM(I8:I11)</f>
        <v>6.6666666666666784E-3</v>
      </c>
      <c r="K8" s="1">
        <f>SQRT(J8/2)</f>
        <v>5.773502691896263E-2</v>
      </c>
      <c r="L8" s="1">
        <f>K8/SQRT(3)</f>
        <v>3.3333333333333368E-2</v>
      </c>
      <c r="M8" s="22">
        <f>100*L8/G8</f>
        <v>0.8403361344537823</v>
      </c>
    </row>
    <row r="9" spans="1:13" x14ac:dyDescent="0.25">
      <c r="A9" s="11">
        <v>8.35</v>
      </c>
      <c r="B9" s="5">
        <v>25.5</v>
      </c>
      <c r="C9" s="11">
        <f t="shared" ref="C9:C26" si="0">$A$3*(A9/1000)*(B9/100)</f>
        <v>2.086665E-2</v>
      </c>
      <c r="D9" s="6">
        <v>4</v>
      </c>
      <c r="H9" s="17">
        <f>D9-$G$8</f>
        <v>3.3333333333333215E-2</v>
      </c>
      <c r="I9" s="1">
        <f>H9^2</f>
        <v>1.1111111111111033E-3</v>
      </c>
      <c r="M9" s="22"/>
    </row>
    <row r="10" spans="1:13" x14ac:dyDescent="0.25">
      <c r="A10" s="11">
        <v>8.35</v>
      </c>
      <c r="B10" s="5">
        <v>25.5</v>
      </c>
      <c r="C10" s="11">
        <f t="shared" si="0"/>
        <v>2.086665E-2</v>
      </c>
      <c r="D10" s="6">
        <v>3.9</v>
      </c>
      <c r="H10" s="17">
        <f>D10-$G$8</f>
        <v>-6.6666666666666874E-2</v>
      </c>
      <c r="I10" s="1">
        <f>H10^2</f>
        <v>4.4444444444444722E-3</v>
      </c>
      <c r="M10" s="22"/>
    </row>
    <row r="11" spans="1:13" x14ac:dyDescent="0.25">
      <c r="A11" s="11"/>
      <c r="B11" s="5"/>
      <c r="C11" s="11"/>
      <c r="D11" s="6"/>
      <c r="M11" s="22"/>
    </row>
    <row r="12" spans="1:13" x14ac:dyDescent="0.25">
      <c r="A12" s="11">
        <v>28.16</v>
      </c>
      <c r="B12" s="5">
        <v>25.5</v>
      </c>
      <c r="C12" s="11">
        <f t="shared" si="0"/>
        <v>7.0371840000000019E-2</v>
      </c>
      <c r="D12" s="6">
        <v>5.4</v>
      </c>
      <c r="G12" s="1">
        <f>SUM(D12:D14)/3</f>
        <v>5.2333333333333334</v>
      </c>
      <c r="H12" s="17">
        <f>D12-$G$12</f>
        <v>0.16666666666666696</v>
      </c>
      <c r="I12" s="1">
        <f>H12^2</f>
        <v>2.7777777777777877E-2</v>
      </c>
      <c r="J12" s="1">
        <f>SUM(I12:I15)</f>
        <v>8.6666666666666753E-2</v>
      </c>
      <c r="K12" s="1">
        <f>SQRT(J12/2)</f>
        <v>0.20816659994661338</v>
      </c>
      <c r="L12" s="1">
        <f>K12/SQRT(3)</f>
        <v>0.12018504251546638</v>
      </c>
      <c r="M12" s="22">
        <f>100*L12/G12</f>
        <v>2.2965294748178287</v>
      </c>
    </row>
    <row r="13" spans="1:13" x14ac:dyDescent="0.25">
      <c r="A13" s="11">
        <v>28.16</v>
      </c>
      <c r="B13" s="5">
        <v>25.5</v>
      </c>
      <c r="C13" s="11">
        <f t="shared" si="0"/>
        <v>7.0371840000000019E-2</v>
      </c>
      <c r="D13" s="6">
        <v>5.3</v>
      </c>
      <c r="H13" s="17">
        <f>D13-$G$12</f>
        <v>6.666666666666643E-2</v>
      </c>
      <c r="I13" s="1">
        <f>H13^2</f>
        <v>4.4444444444444132E-3</v>
      </c>
      <c r="M13" s="22"/>
    </row>
    <row r="14" spans="1:13" x14ac:dyDescent="0.25">
      <c r="A14" s="11">
        <v>28.16</v>
      </c>
      <c r="B14" s="5">
        <v>25.5</v>
      </c>
      <c r="C14" s="11">
        <f t="shared" si="0"/>
        <v>7.0371840000000019E-2</v>
      </c>
      <c r="D14" s="6">
        <v>5</v>
      </c>
      <c r="H14" s="17">
        <f>D14-$G$12</f>
        <v>-0.23333333333333339</v>
      </c>
      <c r="I14" s="1">
        <f>H14^2</f>
        <v>5.4444444444444469E-2</v>
      </c>
      <c r="M14" s="22"/>
    </row>
    <row r="15" spans="1:13" x14ac:dyDescent="0.25">
      <c r="A15" s="11"/>
      <c r="B15" s="5"/>
      <c r="C15" s="11"/>
      <c r="D15" s="6"/>
      <c r="M15" s="22"/>
    </row>
    <row r="16" spans="1:13" x14ac:dyDescent="0.25">
      <c r="A16" s="11">
        <v>66.760000000000005</v>
      </c>
      <c r="B16" s="5">
        <v>25.5</v>
      </c>
      <c r="C16" s="11">
        <f t="shared" si="0"/>
        <v>0.16683324000000002</v>
      </c>
      <c r="D16" s="6">
        <v>6.4</v>
      </c>
      <c r="G16" s="1">
        <f>SUM(D16:D18)/3</f>
        <v>6.333333333333333</v>
      </c>
      <c r="H16" s="17">
        <f>D16-$G$16</f>
        <v>6.6666666666667318E-2</v>
      </c>
      <c r="I16" s="1">
        <f>H16^2</f>
        <v>4.4444444444445312E-3</v>
      </c>
      <c r="J16" s="1">
        <f>SUM(I16:I19)</f>
        <v>2.6666666666666713E-2</v>
      </c>
      <c r="K16" s="1">
        <f>SQRT(J16/2)</f>
        <v>0.11547005383792526</v>
      </c>
      <c r="L16" s="1">
        <f>K16/SQRT(3)</f>
        <v>6.6666666666666735E-2</v>
      </c>
      <c r="M16" s="22">
        <f>100*L16/G16</f>
        <v>1.0526315789473695</v>
      </c>
    </row>
    <row r="17" spans="1:13" x14ac:dyDescent="0.25">
      <c r="A17" s="11">
        <v>66.760000000000005</v>
      </c>
      <c r="B17" s="5">
        <v>25.5</v>
      </c>
      <c r="C17" s="11">
        <f t="shared" si="0"/>
        <v>0.16683324000000002</v>
      </c>
      <c r="D17" s="6">
        <v>6.4</v>
      </c>
      <c r="H17" s="17">
        <f>D17-$G$16</f>
        <v>6.6666666666667318E-2</v>
      </c>
      <c r="I17" s="1">
        <f>H17^2</f>
        <v>4.4444444444445312E-3</v>
      </c>
      <c r="M17" s="22"/>
    </row>
    <row r="18" spans="1:13" x14ac:dyDescent="0.25">
      <c r="A18" s="11">
        <v>66.760000000000005</v>
      </c>
      <c r="B18" s="5">
        <v>25.5</v>
      </c>
      <c r="C18" s="11">
        <f t="shared" si="0"/>
        <v>0.16683324000000002</v>
      </c>
      <c r="D18" s="6">
        <v>6.2</v>
      </c>
      <c r="H18" s="17">
        <f>D18-$G$16</f>
        <v>-0.13333333333333286</v>
      </c>
      <c r="I18" s="1">
        <f>H18^2</f>
        <v>1.7777777777777653E-2</v>
      </c>
      <c r="M18" s="22"/>
    </row>
    <row r="19" spans="1:13" x14ac:dyDescent="0.25">
      <c r="A19" s="11"/>
      <c r="B19" s="5"/>
      <c r="C19" s="11"/>
      <c r="D19" s="6"/>
      <c r="M19" s="22"/>
    </row>
    <row r="20" spans="1:13" x14ac:dyDescent="0.25">
      <c r="A20" s="11">
        <v>66.760000000000005</v>
      </c>
      <c r="B20" s="7">
        <v>68</v>
      </c>
      <c r="C20" s="11">
        <f t="shared" si="0"/>
        <v>0.44488864000000006</v>
      </c>
      <c r="D20" s="6">
        <v>8.1999999999999993</v>
      </c>
      <c r="G20" s="1">
        <f>SUM(D20:D22)/3</f>
        <v>7.9666666666666659</v>
      </c>
      <c r="H20" s="17">
        <f>D20-$G$20</f>
        <v>0.23333333333333339</v>
      </c>
      <c r="I20" s="1">
        <f>H20^2</f>
        <v>5.4444444444444469E-2</v>
      </c>
      <c r="J20" s="1">
        <f>SUM(I20:I23)</f>
        <v>8.666666666666635E-2</v>
      </c>
      <c r="K20" s="1">
        <f>SQRT(J20/2)</f>
        <v>0.20816659994661291</v>
      </c>
      <c r="L20" s="1">
        <f>K20/SQRT(3)</f>
        <v>0.12018504251546611</v>
      </c>
      <c r="M20" s="22">
        <f>100*L20/G20</f>
        <v>1.5085988600267715</v>
      </c>
    </row>
    <row r="21" spans="1:13" x14ac:dyDescent="0.25">
      <c r="A21" s="11">
        <v>66.760000000000005</v>
      </c>
      <c r="B21" s="7">
        <v>68</v>
      </c>
      <c r="C21" s="11">
        <f t="shared" si="0"/>
        <v>0.44488864000000006</v>
      </c>
      <c r="D21" s="6">
        <v>7.8</v>
      </c>
      <c r="H21" s="17">
        <f>D21-$G$20</f>
        <v>-0.16666666666666607</v>
      </c>
      <c r="I21" s="1">
        <f>H21^2</f>
        <v>2.7777777777777582E-2</v>
      </c>
      <c r="M21" s="22"/>
    </row>
    <row r="22" spans="1:13" x14ac:dyDescent="0.25">
      <c r="A22" s="11">
        <v>66.760000000000005</v>
      </c>
      <c r="B22" s="7">
        <v>68</v>
      </c>
      <c r="C22" s="11">
        <f t="shared" si="0"/>
        <v>0.44488864000000006</v>
      </c>
      <c r="D22" s="6">
        <v>7.9</v>
      </c>
      <c r="H22" s="17">
        <f>D22-$G$20</f>
        <v>-6.6666666666665542E-2</v>
      </c>
      <c r="I22" s="1">
        <f>H22^2</f>
        <v>4.4444444444442944E-3</v>
      </c>
      <c r="M22" s="22"/>
    </row>
    <row r="23" spans="1:13" x14ac:dyDescent="0.25">
      <c r="A23" s="11"/>
      <c r="B23" s="7"/>
      <c r="C23" s="11"/>
      <c r="D23" s="6"/>
      <c r="M23" s="22"/>
    </row>
    <row r="24" spans="1:13" x14ac:dyDescent="0.25">
      <c r="A24" s="11">
        <v>66.760000000000005</v>
      </c>
      <c r="B24" s="7">
        <v>150</v>
      </c>
      <c r="C24" s="11">
        <f t="shared" si="0"/>
        <v>0.98137200000000013</v>
      </c>
      <c r="D24" s="6">
        <v>10.4</v>
      </c>
      <c r="G24" s="1">
        <f>SUM(D24:D26)/3</f>
        <v>10.166666666666666</v>
      </c>
      <c r="H24" s="17">
        <f>D24-$G$24</f>
        <v>0.23333333333333428</v>
      </c>
      <c r="I24" s="1">
        <f>H24^2</f>
        <v>5.4444444444444885E-2</v>
      </c>
      <c r="J24" s="1">
        <f>SUM(I24:I27)</f>
        <v>8.6666666666666892E-2</v>
      </c>
      <c r="K24" s="1">
        <f>SQRT(J24/2)</f>
        <v>0.20816659994661355</v>
      </c>
      <c r="L24" s="1">
        <f>K24/SQRT(3)</f>
        <v>0.12018504251546647</v>
      </c>
      <c r="M24" s="22">
        <f>100*L24/G24</f>
        <v>1.1821479591685227</v>
      </c>
    </row>
    <row r="25" spans="1:13" x14ac:dyDescent="0.25">
      <c r="A25" s="11">
        <v>66.760000000000005</v>
      </c>
      <c r="B25" s="7">
        <v>150</v>
      </c>
      <c r="C25" s="11">
        <f t="shared" si="0"/>
        <v>0.98137200000000013</v>
      </c>
      <c r="D25" s="6">
        <v>10</v>
      </c>
      <c r="H25" s="17">
        <f>D25-$G$24</f>
        <v>-0.16666666666666607</v>
      </c>
      <c r="I25" s="1">
        <f>H25^2</f>
        <v>2.7777777777777582E-2</v>
      </c>
      <c r="M25" s="22"/>
    </row>
    <row r="26" spans="1:13" ht="13.8" thickBot="1" x14ac:dyDescent="0.3">
      <c r="A26" s="12">
        <v>66.760000000000005</v>
      </c>
      <c r="B26" s="8">
        <v>150</v>
      </c>
      <c r="C26" s="12">
        <f t="shared" si="0"/>
        <v>0.98137200000000013</v>
      </c>
      <c r="D26" s="9">
        <v>10.1</v>
      </c>
      <c r="H26" s="17">
        <f>D26-$G$24</f>
        <v>-6.666666666666643E-2</v>
      </c>
      <c r="I26" s="1">
        <f>H26^2</f>
        <v>4.4444444444444132E-3</v>
      </c>
      <c r="M26" s="23"/>
    </row>
    <row r="27" spans="1:13" x14ac:dyDescent="0.25">
      <c r="B27" s="2"/>
      <c r="D27" s="2"/>
    </row>
    <row r="29" spans="1:13" x14ac:dyDescent="0.25">
      <c r="E29" s="18" t="s">
        <v>52</v>
      </c>
      <c r="G29" s="1">
        <f>100*0.00289/8.35</f>
        <v>3.4610778443113777E-2</v>
      </c>
    </row>
    <row r="30" spans="1:13" x14ac:dyDescent="0.25">
      <c r="E30" s="18" t="s">
        <v>53</v>
      </c>
      <c r="G30" s="1">
        <f>100*0.005/9.8</f>
        <v>5.10204081632653E-2</v>
      </c>
    </row>
    <row r="31" spans="1:13" x14ac:dyDescent="0.25">
      <c r="E31" s="18" t="s">
        <v>54</v>
      </c>
      <c r="G31" s="1">
        <f>100/255</f>
        <v>0.39215686274509803</v>
      </c>
    </row>
    <row r="32" spans="1:13" ht="13.8" thickBot="1" x14ac:dyDescent="0.3"/>
    <row r="33" spans="5:8" ht="13.8" thickBot="1" x14ac:dyDescent="0.3">
      <c r="E33" s="19" t="s">
        <v>55</v>
      </c>
      <c r="F33" s="20"/>
      <c r="G33" s="20">
        <f>SQRT((G29^2)+(G30^2)+(G31^2))</f>
        <v>0.39697354197938955</v>
      </c>
      <c r="H33" s="21" t="s">
        <v>56</v>
      </c>
    </row>
  </sheetData>
  <sheetProtection password="CA77" sheet="1"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4"/>
  <sheetViews>
    <sheetView workbookViewId="0">
      <selection activeCell="O50" sqref="A1:O50"/>
    </sheetView>
  </sheetViews>
  <sheetFormatPr defaultRowHeight="13.2" x14ac:dyDescent="0.25"/>
  <cols>
    <col min="1" max="1" width="11" style="1" bestFit="1" customWidth="1"/>
    <col min="2" max="2" width="15.5546875" style="1" customWidth="1"/>
    <col min="3" max="3" width="9.109375" style="1"/>
    <col min="4" max="4" width="11.109375" style="1" customWidth="1"/>
    <col min="5" max="6" width="9.109375" style="1"/>
  </cols>
  <sheetData>
    <row r="1" spans="1:5" ht="24.6" x14ac:dyDescent="0.4">
      <c r="A1" s="1" t="str">
        <f>'Uncerts in D'!C1</f>
        <v xml:space="preserve">Potential </v>
      </c>
      <c r="C1" s="33" t="s">
        <v>18</v>
      </c>
      <c r="D1" s="39">
        <f>B43/10</f>
        <v>7.1</v>
      </c>
    </row>
    <row r="2" spans="1:5" ht="25.2" thickBot="1" x14ac:dyDescent="0.45">
      <c r="A2" s="1" t="str">
        <f>'Uncerts in D'!C2</f>
        <v>Energy</v>
      </c>
      <c r="C2" s="34" t="s">
        <v>19</v>
      </c>
      <c r="D2" s="35">
        <f>D43/100</f>
        <v>0.32</v>
      </c>
    </row>
    <row r="3" spans="1:5" x14ac:dyDescent="0.25">
      <c r="A3" s="1" t="str">
        <f>'Uncerts in D'!C3</f>
        <v>↓</v>
      </c>
    </row>
    <row r="4" spans="1:5" x14ac:dyDescent="0.25">
      <c r="A4" s="1" t="str">
        <f>'Uncerts in D'!C4</f>
        <v xml:space="preserve">Kinetic </v>
      </c>
      <c r="B4" s="1" t="str">
        <f>'Uncerts in D'!D4</f>
        <v>Crater</v>
      </c>
    </row>
    <row r="5" spans="1:5" x14ac:dyDescent="0.25">
      <c r="A5" s="1" t="str">
        <f>'Uncerts in D'!C5</f>
        <v>Energy</v>
      </c>
      <c r="B5" s="1" t="str">
        <f>'Uncerts in D'!D5</f>
        <v>Diameter</v>
      </c>
    </row>
    <row r="6" spans="1:5" ht="13.8" thickBot="1" x14ac:dyDescent="0.3">
      <c r="A6" s="1" t="str">
        <f>'Uncerts in D'!C6</f>
        <v>E</v>
      </c>
      <c r="B6" s="1" t="str">
        <f>'Uncerts in D'!D6</f>
        <v>D</v>
      </c>
    </row>
    <row r="7" spans="1:5" x14ac:dyDescent="0.25">
      <c r="A7" s="1" t="str">
        <f>'Uncerts in D'!C7</f>
        <v>(J)</v>
      </c>
      <c r="B7" s="1" t="str">
        <f>'Uncerts in D'!D7</f>
        <v>(cm)</v>
      </c>
      <c r="C7" s="28" t="s">
        <v>17</v>
      </c>
      <c r="D7" s="1" t="s">
        <v>20</v>
      </c>
      <c r="E7" s="1" t="s">
        <v>21</v>
      </c>
    </row>
    <row r="8" spans="1:5" x14ac:dyDescent="0.25">
      <c r="A8" s="1">
        <v>0</v>
      </c>
      <c r="B8" s="1">
        <v>0</v>
      </c>
      <c r="C8" s="29">
        <v>0</v>
      </c>
      <c r="D8" s="1">
        <v>0</v>
      </c>
      <c r="E8" s="1">
        <v>0</v>
      </c>
    </row>
    <row r="9" spans="1:5" x14ac:dyDescent="0.25">
      <c r="A9" s="1">
        <f>'Uncerts in D'!C8</f>
        <v>2.086665E-2</v>
      </c>
      <c r="B9" s="1">
        <f>'Uncerts in D'!D8</f>
        <v>4</v>
      </c>
      <c r="C9" s="29">
        <f>$D$1*(A9^$D$2)</f>
        <v>2.0581793797839665</v>
      </c>
      <c r="D9" s="1">
        <f>(B9-C9)^2</f>
        <v>3.7706673210961812</v>
      </c>
      <c r="E9" s="1">
        <f>B9-C9</f>
        <v>1.9418206202160335</v>
      </c>
    </row>
    <row r="10" spans="1:5" x14ac:dyDescent="0.25">
      <c r="A10" s="1">
        <f>'Uncerts in D'!C9</f>
        <v>2.086665E-2</v>
      </c>
      <c r="B10" s="1">
        <f>'Uncerts in D'!D9</f>
        <v>4</v>
      </c>
      <c r="C10" s="29">
        <f t="shared" ref="C10:C23" si="0">$D$1*(A10^$D$2)</f>
        <v>2.0581793797839665</v>
      </c>
      <c r="D10" s="1">
        <f t="shared" ref="D10:D23" si="1">(B10-C10)^2</f>
        <v>3.7706673210961812</v>
      </c>
      <c r="E10" s="1">
        <f t="shared" ref="E10:E23" si="2">B10-C10</f>
        <v>1.9418206202160335</v>
      </c>
    </row>
    <row r="11" spans="1:5" x14ac:dyDescent="0.25">
      <c r="A11" s="1">
        <f>'Uncerts in D'!C10</f>
        <v>2.086665E-2</v>
      </c>
      <c r="B11" s="1">
        <f>'Uncerts in D'!D10</f>
        <v>3.9</v>
      </c>
      <c r="C11" s="29">
        <f t="shared" si="0"/>
        <v>2.0581793797839665</v>
      </c>
      <c r="D11" s="1">
        <f t="shared" si="1"/>
        <v>3.392303197052974</v>
      </c>
      <c r="E11" s="1">
        <f t="shared" si="2"/>
        <v>1.8418206202160334</v>
      </c>
    </row>
    <row r="12" spans="1:5" x14ac:dyDescent="0.25">
      <c r="A12" s="1">
        <f>'Uncerts in D'!C12</f>
        <v>7.0371840000000019E-2</v>
      </c>
      <c r="B12" s="1">
        <f>'Uncerts in D'!D12</f>
        <v>5.4</v>
      </c>
      <c r="C12" s="29">
        <f t="shared" si="0"/>
        <v>3.0368685836991181</v>
      </c>
      <c r="D12" s="1">
        <f t="shared" si="1"/>
        <v>5.5843900907082142</v>
      </c>
      <c r="E12" s="1">
        <f t="shared" si="2"/>
        <v>2.3631314163008823</v>
      </c>
    </row>
    <row r="13" spans="1:5" x14ac:dyDescent="0.25">
      <c r="A13" s="1">
        <f>'Uncerts in D'!C13</f>
        <v>7.0371840000000019E-2</v>
      </c>
      <c r="B13" s="1">
        <f>'Uncerts in D'!D13</f>
        <v>5.3</v>
      </c>
      <c r="C13" s="29">
        <f t="shared" si="0"/>
        <v>3.0368685836991181</v>
      </c>
      <c r="D13" s="1">
        <f t="shared" si="1"/>
        <v>5.1217638074480352</v>
      </c>
      <c r="E13" s="1">
        <f t="shared" si="2"/>
        <v>2.2631314163008818</v>
      </c>
    </row>
    <row r="14" spans="1:5" x14ac:dyDescent="0.25">
      <c r="A14" s="1">
        <f>'Uncerts in D'!C14</f>
        <v>7.0371840000000019E-2</v>
      </c>
      <c r="B14" s="1">
        <f>'Uncerts in D'!D14</f>
        <v>5</v>
      </c>
      <c r="C14" s="29">
        <f t="shared" si="0"/>
        <v>3.0368685836991181</v>
      </c>
      <c r="D14" s="1">
        <f t="shared" si="1"/>
        <v>3.8538849576675065</v>
      </c>
      <c r="E14" s="1">
        <f t="shared" si="2"/>
        <v>1.9631314163008819</v>
      </c>
    </row>
    <row r="15" spans="1:5" x14ac:dyDescent="0.25">
      <c r="A15" s="1">
        <f>'Uncerts in D'!C16</f>
        <v>0.16683324000000002</v>
      </c>
      <c r="B15" s="1">
        <f>'Uncerts in D'!D16</f>
        <v>6.4</v>
      </c>
      <c r="C15" s="29">
        <f t="shared" si="0"/>
        <v>4.0030293619902455</v>
      </c>
      <c r="D15" s="1">
        <f t="shared" si="1"/>
        <v>5.7454682394808909</v>
      </c>
      <c r="E15" s="1">
        <f t="shared" si="2"/>
        <v>2.3969706380097549</v>
      </c>
    </row>
    <row r="16" spans="1:5" x14ac:dyDescent="0.25">
      <c r="A16" s="1">
        <f>'Uncerts in D'!C17</f>
        <v>0.16683324000000002</v>
      </c>
      <c r="B16" s="1">
        <f>'Uncerts in D'!D17</f>
        <v>6.4</v>
      </c>
      <c r="C16" s="29">
        <f t="shared" si="0"/>
        <v>4.0030293619902455</v>
      </c>
      <c r="D16" s="1">
        <f t="shared" si="1"/>
        <v>5.7454682394808909</v>
      </c>
      <c r="E16" s="1">
        <f t="shared" si="2"/>
        <v>2.3969706380097549</v>
      </c>
    </row>
    <row r="17" spans="1:5" x14ac:dyDescent="0.25">
      <c r="A17" s="1">
        <f>'Uncerts in D'!C18</f>
        <v>0.16683324000000002</v>
      </c>
      <c r="B17" s="1">
        <f>'Uncerts in D'!D18</f>
        <v>6.2</v>
      </c>
      <c r="C17" s="29">
        <f t="shared" si="0"/>
        <v>4.0030293619902455</v>
      </c>
      <c r="D17" s="1">
        <f t="shared" si="1"/>
        <v>4.8266799842769883</v>
      </c>
      <c r="E17" s="1">
        <f t="shared" si="2"/>
        <v>2.1969706380097547</v>
      </c>
    </row>
    <row r="18" spans="1:5" x14ac:dyDescent="0.25">
      <c r="A18" s="1">
        <f>'Uncerts in D'!C20</f>
        <v>0.44488864000000006</v>
      </c>
      <c r="B18" s="1">
        <f>'Uncerts in D'!D20</f>
        <v>8.1999999999999993</v>
      </c>
      <c r="C18" s="29">
        <f t="shared" si="0"/>
        <v>5.4789680760821495</v>
      </c>
      <c r="D18" s="1">
        <f t="shared" si="1"/>
        <v>7.4040147309800748</v>
      </c>
      <c r="E18" s="1">
        <f t="shared" si="2"/>
        <v>2.7210319239178498</v>
      </c>
    </row>
    <row r="19" spans="1:5" x14ac:dyDescent="0.25">
      <c r="A19" s="1">
        <f>'Uncerts in D'!C21</f>
        <v>0.44488864000000006</v>
      </c>
      <c r="B19" s="1">
        <f>'Uncerts in D'!D21</f>
        <v>7.8</v>
      </c>
      <c r="C19" s="29">
        <f t="shared" si="0"/>
        <v>5.4789680760821495</v>
      </c>
      <c r="D19" s="1">
        <f t="shared" si="1"/>
        <v>5.3871891918457973</v>
      </c>
      <c r="E19" s="1">
        <f t="shared" si="2"/>
        <v>2.3210319239178503</v>
      </c>
    </row>
    <row r="20" spans="1:5" x14ac:dyDescent="0.25">
      <c r="A20" s="1">
        <f>'Uncerts in D'!C22</f>
        <v>0.44488864000000006</v>
      </c>
      <c r="B20" s="1">
        <f>'Uncerts in D'!D22</f>
        <v>7.9</v>
      </c>
      <c r="C20" s="29">
        <f t="shared" si="0"/>
        <v>5.4789680760821495</v>
      </c>
      <c r="D20" s="1">
        <f t="shared" si="1"/>
        <v>5.8613955766293699</v>
      </c>
      <c r="E20" s="1">
        <f t="shared" si="2"/>
        <v>2.4210319239178508</v>
      </c>
    </row>
    <row r="21" spans="1:5" x14ac:dyDescent="0.25">
      <c r="A21" s="1">
        <f>'Uncerts in D'!C24</f>
        <v>0.98137200000000013</v>
      </c>
      <c r="B21" s="1">
        <f>'Uncerts in D'!D24</f>
        <v>10.4</v>
      </c>
      <c r="C21" s="29">
        <f t="shared" si="0"/>
        <v>7.0574062999768357</v>
      </c>
      <c r="D21" s="1">
        <f t="shared" si="1"/>
        <v>11.17293264343455</v>
      </c>
      <c r="E21" s="1">
        <f t="shared" si="2"/>
        <v>3.3425937000231647</v>
      </c>
    </row>
    <row r="22" spans="1:5" x14ac:dyDescent="0.25">
      <c r="A22" s="1">
        <f>'Uncerts in D'!C25</f>
        <v>0.98137200000000013</v>
      </c>
      <c r="B22" s="1">
        <f>'Uncerts in D'!D25</f>
        <v>10</v>
      </c>
      <c r="C22" s="29">
        <f t="shared" si="0"/>
        <v>7.0574062999768357</v>
      </c>
      <c r="D22" s="1">
        <f t="shared" si="1"/>
        <v>8.6588576834160165</v>
      </c>
      <c r="E22" s="1">
        <f t="shared" si="2"/>
        <v>2.9425937000231643</v>
      </c>
    </row>
    <row r="23" spans="1:5" ht="13.8" thickBot="1" x14ac:dyDescent="0.3">
      <c r="A23" s="1">
        <f>'Uncerts in D'!C26</f>
        <v>0.98137200000000013</v>
      </c>
      <c r="B23" s="1">
        <f>'Uncerts in D'!D26</f>
        <v>10.1</v>
      </c>
      <c r="C23" s="30">
        <f t="shared" si="0"/>
        <v>7.0574062999768357</v>
      </c>
      <c r="D23" s="1">
        <f t="shared" si="1"/>
        <v>9.2573764234206468</v>
      </c>
      <c r="E23" s="1">
        <f t="shared" si="2"/>
        <v>3.042593700023164</v>
      </c>
    </row>
    <row r="24" spans="1:5" ht="13.8" thickBot="1" x14ac:dyDescent="0.3"/>
    <row r="25" spans="1:5" ht="21" thickBot="1" x14ac:dyDescent="0.4">
      <c r="A25" s="36"/>
      <c r="B25" s="37" t="s">
        <v>57</v>
      </c>
      <c r="C25" s="37"/>
      <c r="D25" s="38">
        <f>SUM(D9:D24)</f>
        <v>89.553059408034329</v>
      </c>
    </row>
    <row r="43" spans="2:4" x14ac:dyDescent="0.25">
      <c r="B43" s="1">
        <v>71</v>
      </c>
      <c r="D43" s="1">
        <v>32</v>
      </c>
    </row>
    <row r="44" spans="2:4" x14ac:dyDescent="0.25">
      <c r="B44" s="32" t="s">
        <v>59</v>
      </c>
      <c r="D44" s="31" t="s">
        <v>60</v>
      </c>
    </row>
  </sheetData>
  <sheetProtection password="CA77" sheet="1"/>
  <phoneticPr fontId="1" type="noConversion"/>
  <pageMargins left="0.75" right="0.75" top="1" bottom="1" header="0.5" footer="0.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Scroll Bar 3">
              <controlPr defaultSize="0" autoPict="0">
                <anchor moveWithCells="1">
                  <from>
                    <xdr:col>1</xdr:col>
                    <xdr:colOff>0</xdr:colOff>
                    <xdr:row>27</xdr:row>
                    <xdr:rowOff>30480</xdr:rowOff>
                  </from>
                  <to>
                    <xdr:col>1</xdr:col>
                    <xdr:colOff>609600</xdr:colOff>
                    <xdr:row>40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4" name="Scroll Bar 4">
              <controlPr defaultSize="0" autoPict="0">
                <anchor moveWithCells="1">
                  <from>
                    <xdr:col>3</xdr:col>
                    <xdr:colOff>0</xdr:colOff>
                    <xdr:row>27</xdr:row>
                    <xdr:rowOff>30480</xdr:rowOff>
                  </from>
                  <to>
                    <xdr:col>3</xdr:col>
                    <xdr:colOff>609600</xdr:colOff>
                    <xdr:row>40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34"/>
  <sheetViews>
    <sheetView tabSelected="1" topLeftCell="A3" workbookViewId="0">
      <selection activeCell="I33" sqref="I33"/>
    </sheetView>
  </sheetViews>
  <sheetFormatPr defaultRowHeight="13.2" x14ac:dyDescent="0.25"/>
  <cols>
    <col min="1" max="2" width="9.109375" style="1"/>
    <col min="3" max="3" width="2.109375" style="1" customWidth="1"/>
    <col min="4" max="19" width="9.109375" style="1"/>
  </cols>
  <sheetData>
    <row r="1" spans="1:11" x14ac:dyDescent="0.25">
      <c r="A1" s="1" t="str">
        <f>'Solver Curve Fit'!A1</f>
        <v xml:space="preserve">Potential </v>
      </c>
      <c r="J1" s="24" t="s">
        <v>41</v>
      </c>
      <c r="K1" s="25">
        <v>0.24044653092696161</v>
      </c>
    </row>
    <row r="2" spans="1:11" ht="13.8" thickBot="1" x14ac:dyDescent="0.3">
      <c r="A2" s="1" t="str">
        <f>'Solver Curve Fit'!A2</f>
        <v>Energy</v>
      </c>
      <c r="J2" s="26" t="s">
        <v>42</v>
      </c>
      <c r="K2" s="27">
        <v>-2.3110671004756265</v>
      </c>
    </row>
    <row r="3" spans="1:11" x14ac:dyDescent="0.25">
      <c r="A3" s="1" t="str">
        <f>'Solver Curve Fit'!A3</f>
        <v>↓</v>
      </c>
      <c r="E3" s="1" t="s">
        <v>58</v>
      </c>
    </row>
    <row r="4" spans="1:11" ht="13.8" thickBot="1" x14ac:dyDescent="0.3">
      <c r="A4" s="1" t="str">
        <f>'Solver Curve Fit'!A4</f>
        <v xml:space="preserve">Kinetic </v>
      </c>
      <c r="B4" s="1" t="str">
        <f>'Solver Curve Fit'!B4</f>
        <v>Crater</v>
      </c>
    </row>
    <row r="5" spans="1:11" ht="13.8" thickTop="1" x14ac:dyDescent="0.25">
      <c r="A5" s="1" t="str">
        <f>'Solver Curve Fit'!A5</f>
        <v>Energy</v>
      </c>
      <c r="B5" s="1" t="str">
        <f>'Solver Curve Fit'!B5</f>
        <v>Diameter</v>
      </c>
      <c r="D5" s="1" t="s">
        <v>24</v>
      </c>
      <c r="E5" s="1" t="s">
        <v>25</v>
      </c>
      <c r="F5" s="1" t="s">
        <v>28</v>
      </c>
      <c r="G5" s="1" t="s">
        <v>30</v>
      </c>
      <c r="H5" s="28" t="s">
        <v>17</v>
      </c>
      <c r="I5" s="1" t="s">
        <v>20</v>
      </c>
      <c r="J5" s="40" t="s">
        <v>40</v>
      </c>
      <c r="K5" s="41" t="s">
        <v>40</v>
      </c>
    </row>
    <row r="6" spans="1:11" x14ac:dyDescent="0.25">
      <c r="A6" s="1" t="str">
        <f>'Solver Curve Fit'!A6</f>
        <v>E</v>
      </c>
      <c r="B6" s="1" t="str">
        <f>'Solver Curve Fit'!B6</f>
        <v>D</v>
      </c>
      <c r="H6" s="29"/>
      <c r="J6" s="42"/>
      <c r="K6" s="43" t="s">
        <v>20</v>
      </c>
    </row>
    <row r="7" spans="1:11" x14ac:dyDescent="0.25">
      <c r="A7" s="1" t="str">
        <f>'Solver Curve Fit'!A7</f>
        <v>(J)</v>
      </c>
      <c r="B7" s="1" t="str">
        <f>'Solver Curve Fit'!B7</f>
        <v>(cm)</v>
      </c>
      <c r="D7" s="1" t="s">
        <v>22</v>
      </c>
      <c r="E7" s="1" t="s">
        <v>23</v>
      </c>
      <c r="H7" s="29"/>
      <c r="J7" s="42"/>
      <c r="K7" s="43"/>
    </row>
    <row r="8" spans="1:11" x14ac:dyDescent="0.25">
      <c r="A8" s="1">
        <f>'Solver Curve Fit'!A9</f>
        <v>2.086665E-2</v>
      </c>
      <c r="B8" s="1">
        <f>'Solver Curve Fit'!B9</f>
        <v>4</v>
      </c>
      <c r="D8" s="1">
        <f>LN(A8)</f>
        <v>-3.8696030882665577</v>
      </c>
      <c r="E8" s="1">
        <f>LN(B8/100)</f>
        <v>-3.2188758248682006</v>
      </c>
      <c r="F8" s="1">
        <f>D8^2</f>
        <v>14.973828060722081</v>
      </c>
      <c r="G8" s="1">
        <f>D8*E8</f>
        <v>12.455771832656552</v>
      </c>
      <c r="H8" s="29">
        <f>$E$29+($E$31*D8)</f>
        <v>-3.2414990812378708</v>
      </c>
      <c r="I8" s="1">
        <f>(H8-E8)^2</f>
        <v>5.1181172876782412E-4</v>
      </c>
      <c r="J8" s="42">
        <f>$K$2+($K$1*D8)</f>
        <v>-3.2414997391135776</v>
      </c>
      <c r="K8" s="43">
        <f>(J8-E8)^2</f>
        <v>5.118414957821732E-4</v>
      </c>
    </row>
    <row r="9" spans="1:11" x14ac:dyDescent="0.25">
      <c r="A9" s="1">
        <f>'Solver Curve Fit'!A10</f>
        <v>2.086665E-2</v>
      </c>
      <c r="B9" s="1">
        <f>'Solver Curve Fit'!B10</f>
        <v>4</v>
      </c>
      <c r="D9" s="1">
        <f t="shared" ref="D9:D22" si="0">LN(A9)</f>
        <v>-3.8696030882665577</v>
      </c>
      <c r="E9" s="1">
        <f t="shared" ref="E9:E22" si="1">LN(B9/100)</f>
        <v>-3.2188758248682006</v>
      </c>
      <c r="F9" s="1">
        <f t="shared" ref="F9:F22" si="2">D9^2</f>
        <v>14.973828060722081</v>
      </c>
      <c r="G9" s="1">
        <f t="shared" ref="G9:G22" si="3">D9*E9</f>
        <v>12.455771832656552</v>
      </c>
      <c r="H9" s="29">
        <f t="shared" ref="H9:H22" si="4">$E$29+($E$31*D9)</f>
        <v>-3.2414990812378708</v>
      </c>
      <c r="I9" s="1">
        <f t="shared" ref="I9:I22" si="5">(H9-E9)^2</f>
        <v>5.1181172876782412E-4</v>
      </c>
      <c r="J9" s="42">
        <f t="shared" ref="J9:J22" si="6">$K$2+($K$1*D9)</f>
        <v>-3.2414997391135776</v>
      </c>
      <c r="K9" s="43">
        <f t="shared" ref="K9:K22" si="7">(J9-E9)^2</f>
        <v>5.118414957821732E-4</v>
      </c>
    </row>
    <row r="10" spans="1:11" x14ac:dyDescent="0.25">
      <c r="A10" s="1">
        <f>'Solver Curve Fit'!A11</f>
        <v>2.086665E-2</v>
      </c>
      <c r="B10" s="1">
        <f>'Solver Curve Fit'!B11</f>
        <v>3.9</v>
      </c>
      <c r="D10" s="1">
        <f t="shared" si="0"/>
        <v>-3.8696030882665577</v>
      </c>
      <c r="E10" s="1">
        <f t="shared" si="1"/>
        <v>-3.2441936328524905</v>
      </c>
      <c r="F10" s="1">
        <f t="shared" si="2"/>
        <v>14.973828060722081</v>
      </c>
      <c r="G10" s="1">
        <f t="shared" si="3"/>
        <v>12.5537417006207</v>
      </c>
      <c r="H10" s="29">
        <f t="shared" si="4"/>
        <v>-3.2414990812378708</v>
      </c>
      <c r="I10" s="1">
        <f t="shared" si="5"/>
        <v>7.2606084038498126E-6</v>
      </c>
      <c r="J10" s="42">
        <f t="shared" si="6"/>
        <v>-3.2414997391135776</v>
      </c>
      <c r="K10" s="43">
        <f t="shared" si="7"/>
        <v>7.2570634765543047E-6</v>
      </c>
    </row>
    <row r="11" spans="1:11" x14ac:dyDescent="0.25">
      <c r="A11" s="1">
        <f>'Solver Curve Fit'!A12</f>
        <v>7.0371840000000019E-2</v>
      </c>
      <c r="B11" s="1">
        <f>'Solver Curve Fit'!B12</f>
        <v>5.4</v>
      </c>
      <c r="D11" s="1">
        <f t="shared" si="0"/>
        <v>-2.6539620958394798</v>
      </c>
      <c r="E11" s="1">
        <f t="shared" si="1"/>
        <v>-2.9187712324178627</v>
      </c>
      <c r="F11" s="1">
        <f t="shared" si="2"/>
        <v>7.0435148061526842</v>
      </c>
      <c r="G11" s="1">
        <f t="shared" si="3"/>
        <v>7.7463082172636923</v>
      </c>
      <c r="H11" s="29">
        <f t="shared" si="4"/>
        <v>-2.9492025520842171</v>
      </c>
      <c r="I11" s="1">
        <f t="shared" si="5"/>
        <v>9.2606521663584642E-4</v>
      </c>
      <c r="J11" s="42">
        <f t="shared" si="6"/>
        <v>-2.9492030796318778</v>
      </c>
      <c r="K11" s="43">
        <f t="shared" si="7"/>
        <v>9.2609732485715492E-4</v>
      </c>
    </row>
    <row r="12" spans="1:11" x14ac:dyDescent="0.25">
      <c r="A12" s="1">
        <f>'Solver Curve Fit'!A13</f>
        <v>7.0371840000000019E-2</v>
      </c>
      <c r="B12" s="1">
        <f>'Solver Curve Fit'!B13</f>
        <v>5.3</v>
      </c>
      <c r="D12" s="1">
        <f t="shared" si="0"/>
        <v>-2.6539620958394798</v>
      </c>
      <c r="E12" s="1">
        <f t="shared" si="1"/>
        <v>-2.9374633654300153</v>
      </c>
      <c r="F12" s="1">
        <f t="shared" si="2"/>
        <v>7.0435148061526842</v>
      </c>
      <c r="G12" s="1">
        <f t="shared" si="3"/>
        <v>7.7959164297683357</v>
      </c>
      <c r="H12" s="29">
        <f t="shared" si="4"/>
        <v>-2.9492025520842171</v>
      </c>
      <c r="I12" s="1">
        <f t="shared" si="5"/>
        <v>1.3780850330219002E-4</v>
      </c>
      <c r="J12" s="42">
        <f t="shared" si="6"/>
        <v>-2.9492030796318778</v>
      </c>
      <c r="K12" s="43">
        <f t="shared" si="7"/>
        <v>1.3782088954141167E-4</v>
      </c>
    </row>
    <row r="13" spans="1:11" x14ac:dyDescent="0.25">
      <c r="A13" s="1">
        <f>'Solver Curve Fit'!A14</f>
        <v>7.0371840000000019E-2</v>
      </c>
      <c r="B13" s="1">
        <f>'Solver Curve Fit'!B14</f>
        <v>5</v>
      </c>
      <c r="D13" s="1">
        <f t="shared" si="0"/>
        <v>-2.6539620958394798</v>
      </c>
      <c r="E13" s="1">
        <f t="shared" si="1"/>
        <v>-2.9957322735539909</v>
      </c>
      <c r="F13" s="1">
        <f t="shared" si="2"/>
        <v>7.0435148061526842</v>
      </c>
      <c r="G13" s="1">
        <f t="shared" si="3"/>
        <v>7.9505599032953196</v>
      </c>
      <c r="H13" s="29">
        <f t="shared" si="4"/>
        <v>-2.9492025520842171</v>
      </c>
      <c r="I13" s="1">
        <f t="shared" si="5"/>
        <v>2.1650149800547238E-3</v>
      </c>
      <c r="J13" s="42">
        <f t="shared" si="6"/>
        <v>-2.9492030796318778</v>
      </c>
      <c r="K13" s="43">
        <f t="shared" si="7"/>
        <v>2.1649658870416047E-3</v>
      </c>
    </row>
    <row r="14" spans="1:11" x14ac:dyDescent="0.25">
      <c r="A14" s="1">
        <f>'Solver Curve Fit'!A15</f>
        <v>0.16683324000000002</v>
      </c>
      <c r="B14" s="1">
        <f>'Solver Curve Fit'!B15</f>
        <v>6.4</v>
      </c>
      <c r="D14" s="1">
        <f t="shared" si="0"/>
        <v>-1.7907605283356873</v>
      </c>
      <c r="E14" s="1">
        <f t="shared" si="1"/>
        <v>-2.7488721956224653</v>
      </c>
      <c r="F14" s="1">
        <f t="shared" si="2"/>
        <v>3.2068232698451102</v>
      </c>
      <c r="G14" s="1">
        <f t="shared" si="3"/>
        <v>4.9225718253601665</v>
      </c>
      <c r="H14" s="29">
        <f t="shared" si="4"/>
        <v>-2.7416488222304691</v>
      </c>
      <c r="I14" s="1">
        <f t="shared" si="5"/>
        <v>5.217712316019855E-5</v>
      </c>
      <c r="J14" s="42">
        <f t="shared" si="6"/>
        <v>-2.7416492572348754</v>
      </c>
      <c r="K14" s="43">
        <f t="shared" si="7"/>
        <v>5.2170838950920023E-5</v>
      </c>
    </row>
    <row r="15" spans="1:11" x14ac:dyDescent="0.25">
      <c r="A15" s="1">
        <f>'Solver Curve Fit'!A16</f>
        <v>0.16683324000000002</v>
      </c>
      <c r="B15" s="1">
        <f>'Solver Curve Fit'!B16</f>
        <v>6.4</v>
      </c>
      <c r="D15" s="1">
        <f t="shared" si="0"/>
        <v>-1.7907605283356873</v>
      </c>
      <c r="E15" s="1">
        <f t="shared" si="1"/>
        <v>-2.7488721956224653</v>
      </c>
      <c r="F15" s="1">
        <f t="shared" si="2"/>
        <v>3.2068232698451102</v>
      </c>
      <c r="G15" s="1">
        <f t="shared" si="3"/>
        <v>4.9225718253601665</v>
      </c>
      <c r="H15" s="29">
        <f t="shared" si="4"/>
        <v>-2.7416488222304691</v>
      </c>
      <c r="I15" s="1">
        <f t="shared" si="5"/>
        <v>5.217712316019855E-5</v>
      </c>
      <c r="J15" s="42">
        <f t="shared" si="6"/>
        <v>-2.7416492572348754</v>
      </c>
      <c r="K15" s="43">
        <f t="shared" si="7"/>
        <v>5.2170838950920023E-5</v>
      </c>
    </row>
    <row r="16" spans="1:11" x14ac:dyDescent="0.25">
      <c r="A16" s="1">
        <f>'Solver Curve Fit'!A17</f>
        <v>0.16683324000000002</v>
      </c>
      <c r="B16" s="1">
        <f>'Solver Curve Fit'!B17</f>
        <v>6.2</v>
      </c>
      <c r="D16" s="1">
        <f t="shared" si="0"/>
        <v>-1.7907605283356873</v>
      </c>
      <c r="E16" s="1">
        <f t="shared" si="1"/>
        <v>-2.7806208939370456</v>
      </c>
      <c r="F16" s="1">
        <f t="shared" si="2"/>
        <v>3.2068232698451102</v>
      </c>
      <c r="G16" s="1">
        <f t="shared" si="3"/>
        <v>4.9794261411279548</v>
      </c>
      <c r="H16" s="29">
        <f t="shared" si="4"/>
        <v>-2.7416488222304691</v>
      </c>
      <c r="I16" s="1">
        <f t="shared" si="5"/>
        <v>1.5188223731025375E-3</v>
      </c>
      <c r="J16" s="42">
        <f t="shared" si="6"/>
        <v>-2.7416492572348754</v>
      </c>
      <c r="K16" s="43">
        <f t="shared" si="7"/>
        <v>1.5187884672459384E-3</v>
      </c>
    </row>
    <row r="17" spans="1:12" x14ac:dyDescent="0.25">
      <c r="A17" s="1">
        <f>'Solver Curve Fit'!A18</f>
        <v>0.44488864000000006</v>
      </c>
      <c r="B17" s="1">
        <f>'Solver Curve Fit'!B18</f>
        <v>8.1999999999999993</v>
      </c>
      <c r="D17" s="1">
        <f t="shared" si="0"/>
        <v>-0.80993127532396103</v>
      </c>
      <c r="E17" s="1">
        <f t="shared" si="1"/>
        <v>-2.5010360317178839</v>
      </c>
      <c r="F17" s="1">
        <f t="shared" si="2"/>
        <v>0.65598867074789802</v>
      </c>
      <c r="G17" s="1">
        <f t="shared" si="3"/>
        <v>2.0256673028004442</v>
      </c>
      <c r="H17" s="29">
        <f t="shared" si="4"/>
        <v>-2.5058119360661557</v>
      </c>
      <c r="I17" s="1">
        <f t="shared" si="5"/>
        <v>2.2809262343841466E-5</v>
      </c>
      <c r="J17" s="42">
        <f t="shared" si="6"/>
        <v>-2.5058122659165227</v>
      </c>
      <c r="K17" s="43">
        <f t="shared" si="7"/>
        <v>2.281241312024699E-5</v>
      </c>
    </row>
    <row r="18" spans="1:12" x14ac:dyDescent="0.25">
      <c r="A18" s="1">
        <f>'Solver Curve Fit'!A19</f>
        <v>0.44488864000000006</v>
      </c>
      <c r="B18" s="1">
        <f>'Solver Curve Fit'!B19</f>
        <v>7.8</v>
      </c>
      <c r="D18" s="1">
        <f t="shared" si="0"/>
        <v>-0.80993127532396103</v>
      </c>
      <c r="E18" s="1">
        <f t="shared" si="1"/>
        <v>-2.5510464522925451</v>
      </c>
      <c r="F18" s="1">
        <f t="shared" si="2"/>
        <v>0.65598867074789802</v>
      </c>
      <c r="G18" s="1">
        <f t="shared" si="3"/>
        <v>2.0661723065159672</v>
      </c>
      <c r="H18" s="29">
        <f t="shared" si="4"/>
        <v>-2.5058119360661557</v>
      </c>
      <c r="I18" s="1">
        <f t="shared" si="5"/>
        <v>2.0461614582354868E-3</v>
      </c>
      <c r="J18" s="42">
        <f t="shared" si="6"/>
        <v>-2.5058122659165227</v>
      </c>
      <c r="K18" s="43">
        <f t="shared" si="7"/>
        <v>2.0461316171007295E-3</v>
      </c>
    </row>
    <row r="19" spans="1:12" x14ac:dyDescent="0.25">
      <c r="A19" s="1">
        <f>'Solver Curve Fit'!A20</f>
        <v>0.44488864000000006</v>
      </c>
      <c r="B19" s="1">
        <f>'Solver Curve Fit'!B20</f>
        <v>7.9</v>
      </c>
      <c r="D19" s="1">
        <f t="shared" si="0"/>
        <v>-0.80993127532396103</v>
      </c>
      <c r="E19" s="1">
        <f t="shared" si="1"/>
        <v>-2.5383074265151158</v>
      </c>
      <c r="F19" s="1">
        <f t="shared" si="2"/>
        <v>0.65598867074789802</v>
      </c>
      <c r="G19" s="1">
        <f t="shared" si="3"/>
        <v>2.0558545711216691</v>
      </c>
      <c r="H19" s="29">
        <f t="shared" si="4"/>
        <v>-2.5058119360661557</v>
      </c>
      <c r="I19" s="1">
        <f t="shared" si="5"/>
        <v>1.0559568995184539E-3</v>
      </c>
      <c r="J19" s="42">
        <f t="shared" si="6"/>
        <v>-2.5058122659165227</v>
      </c>
      <c r="K19" s="43">
        <f t="shared" si="7"/>
        <v>1.0559354623283529E-3</v>
      </c>
    </row>
    <row r="20" spans="1:12" x14ac:dyDescent="0.25">
      <c r="A20" s="1">
        <f>'Solver Curve Fit'!A21</f>
        <v>0.98137200000000013</v>
      </c>
      <c r="B20" s="1">
        <f>'Solver Curve Fit'!B21</f>
        <v>10.4</v>
      </c>
      <c r="D20" s="1">
        <f t="shared" si="0"/>
        <v>-1.880368640381197E-2</v>
      </c>
      <c r="E20" s="1">
        <f t="shared" si="1"/>
        <v>-2.2633643798407643</v>
      </c>
      <c r="F20" s="1">
        <f t="shared" si="2"/>
        <v>3.5357862237290311E-4</v>
      </c>
      <c r="G20" s="1">
        <f t="shared" si="3"/>
        <v>4.2559594016084092E-2</v>
      </c>
      <c r="H20" s="29">
        <f t="shared" si="4"/>
        <v>-2.3155881366059465</v>
      </c>
      <c r="I20" s="1">
        <f t="shared" si="5"/>
        <v>2.7273207706689142E-3</v>
      </c>
      <c r="J20" s="42">
        <f t="shared" si="6"/>
        <v>-2.3155883816400613</v>
      </c>
      <c r="K20" s="43">
        <f t="shared" si="7"/>
        <v>2.7273463639329743E-3</v>
      </c>
    </row>
    <row r="21" spans="1:12" x14ac:dyDescent="0.25">
      <c r="A21" s="1">
        <f>'Solver Curve Fit'!A22</f>
        <v>0.98137200000000013</v>
      </c>
      <c r="B21" s="1">
        <f>'Solver Curve Fit'!B22</f>
        <v>10</v>
      </c>
      <c r="D21" s="1">
        <f t="shared" si="0"/>
        <v>-1.880368640381197E-2</v>
      </c>
      <c r="E21" s="1">
        <f t="shared" si="1"/>
        <v>-2.3025850929940455</v>
      </c>
      <c r="F21" s="1">
        <f t="shared" si="2"/>
        <v>3.5357862237290311E-4</v>
      </c>
      <c r="G21" s="1">
        <f t="shared" si="3"/>
        <v>4.3297088006752256E-2</v>
      </c>
      <c r="H21" s="29">
        <f t="shared" si="4"/>
        <v>-2.3155881366059465</v>
      </c>
      <c r="I21" s="1">
        <f t="shared" si="5"/>
        <v>1.6907914317300141E-4</v>
      </c>
      <c r="J21" s="42">
        <f t="shared" si="6"/>
        <v>-2.3155883816400613</v>
      </c>
      <c r="K21" s="43">
        <f t="shared" si="7"/>
        <v>1.6908551561160482E-4</v>
      </c>
    </row>
    <row r="22" spans="1:12" ht="13.8" thickBot="1" x14ac:dyDescent="0.3">
      <c r="A22" s="1">
        <f>'Solver Curve Fit'!A23</f>
        <v>0.98137200000000013</v>
      </c>
      <c r="B22" s="1">
        <f>'Solver Curve Fit'!B23</f>
        <v>10.1</v>
      </c>
      <c r="D22" s="1">
        <f t="shared" si="0"/>
        <v>-1.880368640381197E-2</v>
      </c>
      <c r="E22" s="1">
        <f t="shared" si="1"/>
        <v>-2.2926347621408776</v>
      </c>
      <c r="F22" s="1">
        <f t="shared" si="2"/>
        <v>3.5357862237290311E-4</v>
      </c>
      <c r="G22" s="1">
        <f t="shared" si="3"/>
        <v>4.3109985105775107E-2</v>
      </c>
      <c r="H22" s="30">
        <f t="shared" si="4"/>
        <v>-2.3155881366059465</v>
      </c>
      <c r="I22" s="1">
        <f t="shared" si="5"/>
        <v>5.2685739933367945E-4</v>
      </c>
      <c r="J22" s="42">
        <f t="shared" si="6"/>
        <v>-2.3155883816400613</v>
      </c>
      <c r="K22" s="43">
        <f t="shared" si="7"/>
        <v>5.2686864811330759E-4</v>
      </c>
    </row>
    <row r="23" spans="1:12" x14ac:dyDescent="0.25">
      <c r="J23" s="42"/>
      <c r="K23" s="43"/>
    </row>
    <row r="24" spans="1:12" x14ac:dyDescent="0.25">
      <c r="D24" s="1">
        <f>SUM(D8:D22)</f>
        <v>-27.429182022508492</v>
      </c>
      <c r="E24" s="1">
        <f>SUM(E8:E22)</f>
        <v>-41.261251584673964</v>
      </c>
      <c r="F24" s="1">
        <f>SUM(F8:F22)</f>
        <v>77.641525158270454</v>
      </c>
      <c r="G24" s="1">
        <f>SUM(G8:G22)</f>
        <v>82.059300555676131</v>
      </c>
      <c r="I24" s="1">
        <f>SUM(I8:I23)</f>
        <v>1.2431134318628571E-2</v>
      </c>
      <c r="J24" s="42"/>
      <c r="K24" s="43">
        <f>SUM(K8:K22)</f>
        <v>1.2431134321836066E-2</v>
      </c>
    </row>
    <row r="25" spans="1:12" ht="13.8" thickBot="1" x14ac:dyDescent="0.3">
      <c r="D25" s="1" t="s">
        <v>26</v>
      </c>
      <c r="E25" s="1" t="s">
        <v>27</v>
      </c>
      <c r="F25" s="1" t="s">
        <v>29</v>
      </c>
      <c r="G25" s="1" t="s">
        <v>31</v>
      </c>
      <c r="I25" s="1" t="s">
        <v>34</v>
      </c>
      <c r="J25" s="44"/>
      <c r="K25" s="45" t="s">
        <v>43</v>
      </c>
    </row>
    <row r="26" spans="1:12" ht="13.8" thickTop="1" x14ac:dyDescent="0.25"/>
    <row r="27" spans="1:12" x14ac:dyDescent="0.25">
      <c r="D27" s="1" t="s">
        <v>37</v>
      </c>
      <c r="E27" s="1">
        <f>(15*F24)-(D24^2)</f>
        <v>412.26285095015373</v>
      </c>
      <c r="H27" s="1" t="s">
        <v>35</v>
      </c>
      <c r="I27" s="1">
        <f>SQRT(I24/13)</f>
        <v>3.092314831049657E-2</v>
      </c>
    </row>
    <row r="29" spans="1:12" x14ac:dyDescent="0.25">
      <c r="D29" s="1" t="s">
        <v>33</v>
      </c>
      <c r="E29" s="1">
        <f>((E24*F24)-(G24*D24))/E27</f>
        <v>-2.3110668574574418</v>
      </c>
      <c r="H29" s="1" t="s">
        <v>36</v>
      </c>
      <c r="I29" s="1">
        <f>I27*SQRT(F24/E27)</f>
        <v>1.3419725461399769E-2</v>
      </c>
      <c r="L29" s="1">
        <f>EXP(E29)</f>
        <v>9.9155410421926687E-2</v>
      </c>
    </row>
    <row r="31" spans="1:12" x14ac:dyDescent="0.25">
      <c r="D31" s="1" t="s">
        <v>32</v>
      </c>
      <c r="E31" s="1">
        <f>((15*G24)-(D24*E24))/E27</f>
        <v>0.24044642371764002</v>
      </c>
      <c r="H31" s="1" t="s">
        <v>38</v>
      </c>
      <c r="I31" s="1">
        <f>I27*SQRT(15/E27)</f>
        <v>5.8985088012886737E-3</v>
      </c>
    </row>
    <row r="33" spans="8:9" x14ac:dyDescent="0.25">
      <c r="I33" s="1">
        <v>2.16</v>
      </c>
    </row>
    <row r="34" spans="8:9" x14ac:dyDescent="0.25">
      <c r="H34" s="1" t="s">
        <v>39</v>
      </c>
      <c r="I34" s="1">
        <f>I33*I31</f>
        <v>1.2740779010783536E-2</v>
      </c>
    </row>
  </sheetData>
  <sheetProtection password="CA77" sheet="1"/>
  <phoneticPr fontId="1" type="noConversion"/>
  <printOptions headings="1" gridLines="1"/>
  <pageMargins left="0.33" right="0.35" top="0.44" bottom="1" header="0.5" footer="0.5"/>
  <pageSetup paperSize="9" scale="78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Uncerts in D</vt:lpstr>
      <vt:lpstr>Equations</vt:lpstr>
      <vt:lpstr>Solver Curve Fit</vt:lpstr>
      <vt:lpstr>Ln Least Squares</vt:lpstr>
      <vt:lpstr>'Ln Least Squares'!Print_Area</vt:lpstr>
    </vt:vector>
  </TitlesOfParts>
  <Company>engin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ipmm</dc:creator>
  <cp:lastModifiedBy>etxjoon</cp:lastModifiedBy>
  <cp:lastPrinted>2013-03-01T09:22:30Z</cp:lastPrinted>
  <dcterms:created xsi:type="dcterms:W3CDTF">2008-02-25T19:54:41Z</dcterms:created>
  <dcterms:modified xsi:type="dcterms:W3CDTF">2019-05-05T16:58:46Z</dcterms:modified>
</cp:coreProperties>
</file>