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.skinner\Dropbox\Personal\Calculators\Technical Data\"/>
    </mc:Choice>
  </mc:AlternateContent>
  <xr:revisionPtr revIDLastSave="0" documentId="13_ncr:1_{3A564AE1-422B-417B-848A-B65B40B38B93}" xr6:coauthVersionLast="43" xr6:coauthVersionMax="43" xr10:uidLastSave="{00000000-0000-0000-0000-000000000000}"/>
  <bookViews>
    <workbookView xWindow="1755" yWindow="4110" windowWidth="17700" windowHeight="10875" xr2:uid="{00000000-000D-0000-FFFF-FFFF00000000}"/>
  </bookViews>
  <sheets>
    <sheet name="Intercepted Energy" sheetId="1" r:id="rId1"/>
  </sheets>
  <definedNames>
    <definedName name="_xlnm.Print_Area" localSheetId="0">'Intercepted Energy'!$A$1:$R$77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75" i="1" l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2" i="1"/>
  <c r="D60" i="1" l="1"/>
  <c r="L60" i="1" s="1"/>
  <c r="D62" i="1"/>
  <c r="L62" i="1" s="1"/>
  <c r="D64" i="1"/>
  <c r="L64" i="1" s="1"/>
  <c r="D72" i="1"/>
  <c r="D73" i="1"/>
  <c r="L73" i="1" s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8" i="1"/>
  <c r="L22" i="1"/>
  <c r="L23" i="1"/>
  <c r="L25" i="1"/>
  <c r="L26" i="1"/>
  <c r="L27" i="1"/>
  <c r="L28" i="1"/>
  <c r="L29" i="1"/>
  <c r="L33" i="1"/>
  <c r="L34" i="1"/>
  <c r="L36" i="1"/>
  <c r="L37" i="1"/>
  <c r="L38" i="1"/>
  <c r="L41" i="1"/>
  <c r="L42" i="1"/>
  <c r="L43" i="1"/>
  <c r="L48" i="1"/>
  <c r="L49" i="1"/>
  <c r="L50" i="1"/>
  <c r="L53" i="1"/>
  <c r="L54" i="1"/>
  <c r="L58" i="1"/>
  <c r="L59" i="1"/>
  <c r="L61" i="1"/>
  <c r="L72" i="1"/>
  <c r="L2" i="1"/>
  <c r="M73" i="1" l="1"/>
  <c r="I73" i="1"/>
  <c r="O73" i="1" s="1"/>
  <c r="N73" i="1" l="1"/>
  <c r="Q73" i="1" s="1"/>
  <c r="D39" i="1"/>
  <c r="L39" i="1" s="1"/>
  <c r="D32" i="1"/>
  <c r="L32" i="1" s="1"/>
  <c r="D31" i="1"/>
  <c r="L31" i="1" s="1"/>
  <c r="D30" i="1"/>
  <c r="L30" i="1" s="1"/>
  <c r="D71" i="1"/>
  <c r="L71" i="1" s="1"/>
  <c r="D70" i="1"/>
  <c r="L70" i="1" s="1"/>
  <c r="D69" i="1"/>
  <c r="L69" i="1" s="1"/>
  <c r="D68" i="1"/>
  <c r="L68" i="1" s="1"/>
  <c r="D67" i="1"/>
  <c r="L67" i="1" s="1"/>
  <c r="D66" i="1"/>
  <c r="L66" i="1" s="1"/>
  <c r="D65" i="1"/>
  <c r="L65" i="1" s="1"/>
  <c r="D63" i="1"/>
  <c r="L63" i="1" s="1"/>
  <c r="M59" i="1"/>
  <c r="I59" i="1"/>
  <c r="O59" i="1" s="1"/>
  <c r="D57" i="1"/>
  <c r="L57" i="1" s="1"/>
  <c r="D56" i="1"/>
  <c r="L56" i="1" s="1"/>
  <c r="D55" i="1"/>
  <c r="L55" i="1" s="1"/>
  <c r="N59" i="1" l="1"/>
  <c r="Q59" i="1" s="1"/>
  <c r="D52" i="1"/>
  <c r="L52" i="1" s="1"/>
  <c r="D51" i="1"/>
  <c r="L51" i="1" s="1"/>
  <c r="D46" i="1" l="1"/>
  <c r="L46" i="1" s="1"/>
  <c r="D47" i="1"/>
  <c r="L47" i="1" s="1"/>
  <c r="D45" i="1"/>
  <c r="L45" i="1" s="1"/>
  <c r="D44" i="1"/>
  <c r="L44" i="1" s="1"/>
  <c r="D40" i="1"/>
  <c r="L40" i="1" s="1"/>
  <c r="D35" i="1"/>
  <c r="L35" i="1" s="1"/>
  <c r="I41" i="1"/>
  <c r="O41" i="1" s="1"/>
  <c r="M41" i="1"/>
  <c r="I42" i="1"/>
  <c r="O42" i="1" s="1"/>
  <c r="M42" i="1"/>
  <c r="I43" i="1"/>
  <c r="O43" i="1" s="1"/>
  <c r="M43" i="1"/>
  <c r="N43" i="1" s="1"/>
  <c r="I44" i="1"/>
  <c r="O44" i="1" s="1"/>
  <c r="M44" i="1"/>
  <c r="I45" i="1"/>
  <c r="O45" i="1" s="1"/>
  <c r="M45" i="1"/>
  <c r="I46" i="1"/>
  <c r="O46" i="1" s="1"/>
  <c r="M46" i="1"/>
  <c r="I47" i="1"/>
  <c r="O47" i="1" s="1"/>
  <c r="M47" i="1"/>
  <c r="I48" i="1"/>
  <c r="O48" i="1" s="1"/>
  <c r="M48" i="1"/>
  <c r="I49" i="1"/>
  <c r="O49" i="1" s="1"/>
  <c r="M49" i="1"/>
  <c r="I50" i="1"/>
  <c r="O50" i="1" s="1"/>
  <c r="M50" i="1"/>
  <c r="I51" i="1"/>
  <c r="O51" i="1" s="1"/>
  <c r="M51" i="1"/>
  <c r="I52" i="1"/>
  <c r="O52" i="1" s="1"/>
  <c r="M52" i="1"/>
  <c r="I53" i="1"/>
  <c r="O53" i="1" s="1"/>
  <c r="M53" i="1"/>
  <c r="I54" i="1"/>
  <c r="O54" i="1" s="1"/>
  <c r="M54" i="1"/>
  <c r="I55" i="1"/>
  <c r="O55" i="1" s="1"/>
  <c r="M55" i="1"/>
  <c r="I56" i="1"/>
  <c r="O56" i="1" s="1"/>
  <c r="M56" i="1"/>
  <c r="I57" i="1"/>
  <c r="O57" i="1" s="1"/>
  <c r="M57" i="1"/>
  <c r="I58" i="1"/>
  <c r="O58" i="1" s="1"/>
  <c r="M58" i="1"/>
  <c r="I60" i="1"/>
  <c r="O60" i="1" s="1"/>
  <c r="M60" i="1"/>
  <c r="I61" i="1"/>
  <c r="O61" i="1" s="1"/>
  <c r="M61" i="1"/>
  <c r="I62" i="1"/>
  <c r="O62" i="1" s="1"/>
  <c r="M62" i="1"/>
  <c r="I63" i="1"/>
  <c r="O63" i="1" s="1"/>
  <c r="M63" i="1"/>
  <c r="I64" i="1"/>
  <c r="O64" i="1" s="1"/>
  <c r="M64" i="1"/>
  <c r="I65" i="1"/>
  <c r="O65" i="1" s="1"/>
  <c r="M65" i="1"/>
  <c r="I66" i="1"/>
  <c r="O66" i="1" s="1"/>
  <c r="M66" i="1"/>
  <c r="I67" i="1"/>
  <c r="O67" i="1" s="1"/>
  <c r="M67" i="1"/>
  <c r="I68" i="1"/>
  <c r="O68" i="1" s="1"/>
  <c r="M68" i="1"/>
  <c r="I69" i="1"/>
  <c r="O69" i="1" s="1"/>
  <c r="M69" i="1"/>
  <c r="I70" i="1"/>
  <c r="O70" i="1" s="1"/>
  <c r="M70" i="1"/>
  <c r="I71" i="1"/>
  <c r="O71" i="1" s="1"/>
  <c r="M71" i="1"/>
  <c r="I72" i="1"/>
  <c r="O72" i="1" s="1"/>
  <c r="M72" i="1"/>
  <c r="N42" i="1" l="1"/>
  <c r="Q42" i="1" s="1"/>
  <c r="N67" i="1"/>
  <c r="Q67" i="1" s="1"/>
  <c r="N69" i="1"/>
  <c r="Q69" i="1" s="1"/>
  <c r="N48" i="1"/>
  <c r="Q48" i="1" s="1"/>
  <c r="Q43" i="1"/>
  <c r="N61" i="1"/>
  <c r="Q61" i="1" s="1"/>
  <c r="N62" i="1"/>
  <c r="Q62" i="1" s="1"/>
  <c r="N54" i="1"/>
  <c r="Q54" i="1" s="1"/>
  <c r="N53" i="1"/>
  <c r="Q53" i="1" s="1"/>
  <c r="N50" i="1"/>
  <c r="Q50" i="1" s="1"/>
  <c r="N71" i="1"/>
  <c r="Q71" i="1" s="1"/>
  <c r="N58" i="1"/>
  <c r="Q58" i="1" s="1"/>
  <c r="N57" i="1"/>
  <c r="Q57" i="1" s="1"/>
  <c r="N72" i="1"/>
  <c r="Q72" i="1" s="1"/>
  <c r="N63" i="1"/>
  <c r="Q63" i="1" s="1"/>
  <c r="N56" i="1"/>
  <c r="Q56" i="1" s="1"/>
  <c r="N51" i="1"/>
  <c r="Q51" i="1" s="1"/>
  <c r="N45" i="1"/>
  <c r="Q45" i="1" s="1"/>
  <c r="N64" i="1"/>
  <c r="Q64" i="1" s="1"/>
  <c r="N46" i="1"/>
  <c r="Q46" i="1" s="1"/>
  <c r="N70" i="1"/>
  <c r="Q70" i="1" s="1"/>
  <c r="N66" i="1"/>
  <c r="Q66" i="1" s="1"/>
  <c r="N52" i="1"/>
  <c r="Q52" i="1" s="1"/>
  <c r="N44" i="1"/>
  <c r="Q44" i="1" s="1"/>
  <c r="N41" i="1"/>
  <c r="Q41" i="1" s="1"/>
  <c r="N68" i="1"/>
  <c r="Q68" i="1" s="1"/>
  <c r="N65" i="1"/>
  <c r="Q65" i="1" s="1"/>
  <c r="N60" i="1"/>
  <c r="Q60" i="1" s="1"/>
  <c r="N55" i="1"/>
  <c r="Q55" i="1" s="1"/>
  <c r="N49" i="1"/>
  <c r="Q49" i="1" s="1"/>
  <c r="N47" i="1"/>
  <c r="Q47" i="1" s="1"/>
  <c r="D24" i="1"/>
  <c r="L24" i="1" s="1"/>
  <c r="D21" i="1"/>
  <c r="L21" i="1" s="1"/>
  <c r="D20" i="1"/>
  <c r="L20" i="1" s="1"/>
  <c r="D19" i="1"/>
  <c r="L19" i="1" s="1"/>
  <c r="D17" i="1"/>
  <c r="L17" i="1" s="1"/>
  <c r="M39" i="1"/>
  <c r="N39" i="1"/>
  <c r="I39" i="1"/>
  <c r="O39" i="1" s="1"/>
  <c r="M35" i="1"/>
  <c r="I35" i="1"/>
  <c r="O35" i="1" s="1"/>
  <c r="M30" i="1"/>
  <c r="N30" i="1" s="1"/>
  <c r="I30" i="1"/>
  <c r="O30" i="1" s="1"/>
  <c r="M31" i="1"/>
  <c r="I31" i="1"/>
  <c r="O31" i="1" s="1"/>
  <c r="M19" i="1"/>
  <c r="I19" i="1"/>
  <c r="O19" i="1" s="1"/>
  <c r="I15" i="1"/>
  <c r="O15" i="1" s="1"/>
  <c r="M15" i="1"/>
  <c r="I16" i="1"/>
  <c r="O16" i="1" s="1"/>
  <c r="M16" i="1"/>
  <c r="N16" i="1" s="1"/>
  <c r="I17" i="1"/>
  <c r="O17" i="1" s="1"/>
  <c r="M17" i="1"/>
  <c r="I18" i="1"/>
  <c r="O18" i="1" s="1"/>
  <c r="M18" i="1"/>
  <c r="I20" i="1"/>
  <c r="O20" i="1" s="1"/>
  <c r="M20" i="1"/>
  <c r="I21" i="1"/>
  <c r="O21" i="1" s="1"/>
  <c r="M21" i="1"/>
  <c r="I22" i="1"/>
  <c r="O22" i="1" s="1"/>
  <c r="M22" i="1"/>
  <c r="I23" i="1"/>
  <c r="O23" i="1" s="1"/>
  <c r="M23" i="1"/>
  <c r="I24" i="1"/>
  <c r="O24" i="1" s="1"/>
  <c r="M24" i="1"/>
  <c r="I25" i="1"/>
  <c r="O25" i="1" s="1"/>
  <c r="M25" i="1"/>
  <c r="N25" i="1" s="1"/>
  <c r="I26" i="1"/>
  <c r="O26" i="1" s="1"/>
  <c r="M26" i="1"/>
  <c r="I27" i="1"/>
  <c r="O27" i="1" s="1"/>
  <c r="M27" i="1"/>
  <c r="I28" i="1"/>
  <c r="O28" i="1" s="1"/>
  <c r="M28" i="1"/>
  <c r="I29" i="1"/>
  <c r="O29" i="1" s="1"/>
  <c r="M29" i="1"/>
  <c r="I32" i="1"/>
  <c r="O32" i="1" s="1"/>
  <c r="M32" i="1"/>
  <c r="I33" i="1"/>
  <c r="O33" i="1" s="1"/>
  <c r="M33" i="1"/>
  <c r="I34" i="1"/>
  <c r="O34" i="1" s="1"/>
  <c r="M34" i="1"/>
  <c r="I36" i="1"/>
  <c r="O36" i="1" s="1"/>
  <c r="M36" i="1"/>
  <c r="N36" i="1" s="1"/>
  <c r="I37" i="1"/>
  <c r="O37" i="1" s="1"/>
  <c r="M37" i="1"/>
  <c r="I38" i="1"/>
  <c r="O38" i="1" s="1"/>
  <c r="M38" i="1"/>
  <c r="I40" i="1"/>
  <c r="O40" i="1" s="1"/>
  <c r="M40" i="1"/>
  <c r="M14" i="1"/>
  <c r="I14" i="1"/>
  <c r="O14" i="1" s="1"/>
  <c r="I3" i="1"/>
  <c r="O3" i="1" s="1"/>
  <c r="I4" i="1"/>
  <c r="O4" i="1" s="1"/>
  <c r="I5" i="1"/>
  <c r="O5" i="1" s="1"/>
  <c r="I6" i="1"/>
  <c r="O6" i="1" s="1"/>
  <c r="I7" i="1"/>
  <c r="O7" i="1" s="1"/>
  <c r="I8" i="1"/>
  <c r="O8" i="1" s="1"/>
  <c r="I9" i="1"/>
  <c r="O9" i="1" s="1"/>
  <c r="I10" i="1"/>
  <c r="O10" i="1" s="1"/>
  <c r="I11" i="1"/>
  <c r="O11" i="1" s="1"/>
  <c r="I12" i="1"/>
  <c r="O12" i="1" s="1"/>
  <c r="I13" i="1"/>
  <c r="O13" i="1" s="1"/>
  <c r="I2" i="1"/>
  <c r="M3" i="1"/>
  <c r="M4" i="1"/>
  <c r="M5" i="1"/>
  <c r="M6" i="1"/>
  <c r="M7" i="1"/>
  <c r="M8" i="1"/>
  <c r="M9" i="1"/>
  <c r="M10" i="1"/>
  <c r="M11" i="1"/>
  <c r="M12" i="1"/>
  <c r="N12" i="1" s="1"/>
  <c r="M13" i="1"/>
  <c r="M2" i="1"/>
  <c r="N37" i="1"/>
  <c r="Q37" i="1" s="1"/>
  <c r="Q30" i="1" l="1"/>
  <c r="O2" i="1"/>
  <c r="Q39" i="1"/>
  <c r="N18" i="1"/>
  <c r="N35" i="1"/>
  <c r="Q36" i="1"/>
  <c r="N19" i="1"/>
  <c r="Q19" i="1" s="1"/>
  <c r="Q25" i="1"/>
  <c r="Q12" i="1"/>
  <c r="Q18" i="1"/>
  <c r="Q16" i="1"/>
  <c r="N11" i="1"/>
  <c r="Q11" i="1" s="1"/>
  <c r="N10" i="1"/>
  <c r="Q10" i="1" s="1"/>
  <c r="N7" i="1"/>
  <c r="Q7" i="1" s="1"/>
  <c r="N6" i="1"/>
  <c r="Q6" i="1" s="1"/>
  <c r="N3" i="1"/>
  <c r="Q3" i="1" s="1"/>
  <c r="N14" i="1"/>
  <c r="Q14" i="1" s="1"/>
  <c r="N29" i="1"/>
  <c r="Q29" i="1" s="1"/>
  <c r="N28" i="1"/>
  <c r="Q28" i="1" s="1"/>
  <c r="N27" i="1"/>
  <c r="Q27" i="1" s="1"/>
  <c r="Q35" i="1"/>
  <c r="N21" i="1"/>
  <c r="Q21" i="1" s="1"/>
  <c r="N2" i="1"/>
  <c r="Q2" i="1" s="1"/>
  <c r="N13" i="1"/>
  <c r="Q13" i="1" s="1"/>
  <c r="N9" i="1"/>
  <c r="Q9" i="1" s="1"/>
  <c r="N5" i="1"/>
  <c r="Q5" i="1" s="1"/>
  <c r="N23" i="1"/>
  <c r="Q23" i="1" s="1"/>
  <c r="N22" i="1"/>
  <c r="Q22" i="1" s="1"/>
  <c r="N20" i="1"/>
  <c r="Q20" i="1" s="1"/>
  <c r="N24" i="1"/>
  <c r="Q24" i="1" s="1"/>
  <c r="N8" i="1"/>
  <c r="Q8" i="1" s="1"/>
  <c r="N4" i="1"/>
  <c r="Q4" i="1" s="1"/>
  <c r="N15" i="1"/>
  <c r="Q15" i="1" s="1"/>
  <c r="N26" i="1"/>
  <c r="Q26" i="1" s="1"/>
  <c r="N34" i="1"/>
  <c r="Q34" i="1" s="1"/>
  <c r="N33" i="1"/>
  <c r="Q33" i="1" s="1"/>
  <c r="N38" i="1"/>
  <c r="Q38" i="1" s="1"/>
  <c r="N31" i="1"/>
  <c r="Q31" i="1" s="1"/>
  <c r="N17" i="1"/>
  <c r="Q17" i="1" s="1"/>
  <c r="N32" i="1"/>
  <c r="Q32" i="1" s="1"/>
  <c r="N40" i="1"/>
  <c r="Q40" i="1" s="1"/>
  <c r="D74" i="1" l="1"/>
  <c r="D76" i="1"/>
  <c r="D77" i="1" l="1"/>
</calcChain>
</file>

<file path=xl/sharedStrings.xml><?xml version="1.0" encoding="utf-8"?>
<sst xmlns="http://schemas.openxmlformats.org/spreadsheetml/2006/main" count="92" uniqueCount="92">
  <si>
    <t>Star Name</t>
  </si>
  <si>
    <t>Sol</t>
  </si>
  <si>
    <t>Intercepted Energy by the Earth (W)</t>
  </si>
  <si>
    <t>Surface Temperature of the Star
(K)</t>
  </si>
  <si>
    <t>Stefan-Boltzmann Constant</t>
  </si>
  <si>
    <t>Distance between Star &amp; Earth
(ly)</t>
  </si>
  <si>
    <t>Mean Radius of the Earth 
(km)</t>
  </si>
  <si>
    <t>Outward Radiative Energy Flux at the Star's Surface (W/m²)</t>
  </si>
  <si>
    <t>Total Radiative Energy Output of the Star 
(W)</t>
  </si>
  <si>
    <t>Radius of the Star
(km)</t>
  </si>
  <si>
    <t>Distance between Star &amp; Earth
(km)</t>
  </si>
  <si>
    <r>
      <t>Surface Area of the Star 
(km</t>
    </r>
    <r>
      <rPr>
        <sz val="11"/>
        <color theme="1"/>
        <rFont val="Calibri"/>
        <family val="2"/>
      </rPr>
      <t>²)</t>
    </r>
  </si>
  <si>
    <t>Proxima Centuri</t>
  </si>
  <si>
    <t>Alpha Centauri A</t>
  </si>
  <si>
    <t>Alpha Centauri B</t>
  </si>
  <si>
    <t>Barnard's Star</t>
  </si>
  <si>
    <t>Luhman 16 a</t>
  </si>
  <si>
    <t>Luhman 16 b</t>
  </si>
  <si>
    <t>Wolf 359</t>
  </si>
  <si>
    <t>Lalande 21185</t>
  </si>
  <si>
    <t>Sirius</t>
  </si>
  <si>
    <t>Luyten 726-8 A</t>
  </si>
  <si>
    <t>Luyten 726-8 B</t>
  </si>
  <si>
    <t>Ross 154</t>
  </si>
  <si>
    <t>Within 10 Light Years</t>
  </si>
  <si>
    <t>Ross 248</t>
  </si>
  <si>
    <t>Epsilon Eridani</t>
  </si>
  <si>
    <t>Lacaille 9352</t>
  </si>
  <si>
    <t>Ross 128</t>
  </si>
  <si>
    <t>EZ Aquarii A</t>
  </si>
  <si>
    <t>EZ Aquarii B</t>
  </si>
  <si>
    <t>EZ Aquarii C</t>
  </si>
  <si>
    <t>Procyon A</t>
  </si>
  <si>
    <t>Procyon B</t>
  </si>
  <si>
    <t>Groombridge 34</t>
  </si>
  <si>
    <t>Epsilon Indi A</t>
  </si>
  <si>
    <t>DX Cancri</t>
  </si>
  <si>
    <t>Tau Ceti</t>
  </si>
  <si>
    <t>YZ Ceti</t>
  </si>
  <si>
    <t>Luyten's Star</t>
  </si>
  <si>
    <t>Teegarden's Star</t>
  </si>
  <si>
    <t>Kapteyn's Star</t>
  </si>
  <si>
    <t>Lacaille 8760</t>
  </si>
  <si>
    <t>Ross 614A</t>
  </si>
  <si>
    <t>Ross 614B</t>
  </si>
  <si>
    <t>Wolf 1061</t>
  </si>
  <si>
    <t>Van Maanen's Star</t>
  </si>
  <si>
    <t>Gliese 1</t>
  </si>
  <si>
    <t>Wolf 424A</t>
  </si>
  <si>
    <t>Wolf 424B</t>
  </si>
  <si>
    <t>2MASS J154043.42-510135.7</t>
  </si>
  <si>
    <t>L 1159-16</t>
  </si>
  <si>
    <t>Gliese 687</t>
  </si>
  <si>
    <t>LHS 292</t>
  </si>
  <si>
    <t>Gliese 674</t>
  </si>
  <si>
    <t>G 208-45</t>
  </si>
  <si>
    <t>LP 145-131</t>
  </si>
  <si>
    <t>GJ 1002</t>
  </si>
  <si>
    <t>Gliese 876</t>
  </si>
  <si>
    <t>LHS 288</t>
  </si>
  <si>
    <t>Groombridge 1618</t>
  </si>
  <si>
    <t>AD Leonis</t>
  </si>
  <si>
    <t>Gliese 832</t>
  </si>
  <si>
    <t>GJ 1005A</t>
  </si>
  <si>
    <t>GJ 1005B</t>
  </si>
  <si>
    <t>Within 10-20 Light Years</t>
  </si>
  <si>
    <t>Gliese 412 A</t>
  </si>
  <si>
    <t>Gliese 412 B</t>
  </si>
  <si>
    <t>Kruger 60 A</t>
  </si>
  <si>
    <t>Struve 2398 A</t>
  </si>
  <si>
    <t>Struve 2398 B</t>
  </si>
  <si>
    <t>61 Cygni A</t>
  </si>
  <si>
    <t>61 Cygni B</t>
  </si>
  <si>
    <t>WISE 1506+7027</t>
  </si>
  <si>
    <t>Epsilon Indi Ba</t>
  </si>
  <si>
    <t>Epsilon Indi Bb</t>
  </si>
  <si>
    <t>WISE 0350-5658</t>
  </si>
  <si>
    <t>DEN 1048-3956</t>
  </si>
  <si>
    <t>UGPS 0722-05</t>
  </si>
  <si>
    <t>DENIS J081730.0-615520</t>
  </si>
  <si>
    <t>DEN 0255-4700</t>
  </si>
  <si>
    <t>G 208-44a</t>
  </si>
  <si>
    <t>G 208-44b</t>
  </si>
  <si>
    <t>SCR 1845-6357 A</t>
  </si>
  <si>
    <t>SCR 1845-6357 B</t>
  </si>
  <si>
    <t>?</t>
  </si>
  <si>
    <r>
      <t>Intercepting Surface Area of Earth
(km</t>
    </r>
    <r>
      <rPr>
        <sz val="11"/>
        <color theme="1"/>
        <rFont val="Calibri"/>
        <family val="2"/>
      </rPr>
      <t>²)</t>
    </r>
  </si>
  <si>
    <t>Total Energy Intercepted by Earth (PetaWatts)</t>
  </si>
  <si>
    <t>Total Energy Intercepted by Earth (Watts)</t>
  </si>
  <si>
    <t>Total Energy Intercepted by Earth except Sol (MegaWatts)</t>
  </si>
  <si>
    <t>Total Energy Intercepted by Earth except Sol (Watts)</t>
  </si>
  <si>
    <r>
      <t>Solar Surface Area field at distance (Column I)
(km</t>
    </r>
    <r>
      <rPr>
        <sz val="11"/>
        <color theme="1"/>
        <rFont val="Calibri"/>
        <family val="2"/>
      </rPr>
      <t>²)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</si>
</sst>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00000000"/>
    <numFmt numFmtId="165" formatCode="#,##0.000"/>
    <numFmt numFmtId="166" formatCode="#,##0.0000000000000"/>
    <numFmt numFmtId="167" formatCode="#,##0.00000000"/>
    <numFmt numFmtId="175" formatCode="#,##0.000000000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sz val="10"/>
      <name val="MS Sans Serif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/>
    <xf numFmtId="3" fontId="0" fillId="0" borderId="0" xfId="0" applyNumberFormat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0" fillId="0" borderId="9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167" fontId="4" fillId="0" borderId="0" xfId="0" applyNumberFormat="1" applyFont="1" applyAlignment="1">
      <alignment horizontal="center" vertical="center" wrapText="1"/>
    </xf>
    <xf numFmtId="166" fontId="4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3" xfId="0" applyBorder="1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75" fontId="0" fillId="0" borderId="0" xfId="0" applyNumberFormat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4" xr:uid="{00000000-0005-0000-0000-000004000000}"/>
    <cellStyle name="Standard_130E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9"/>
  <sheetViews>
    <sheetView tabSelected="1" zoomScale="85" zoomScaleNormal="85" workbookViewId="0">
      <pane xSplit="2" ySplit="1" topLeftCell="C2" activePane="bottomRight" state="frozenSplit"/>
      <selection pane="topRight" activeCell="G1" sqref="G1"/>
      <selection pane="bottomLeft" activeCell="A14" sqref="A14"/>
      <selection pane="bottomRight" sqref="A1:B1"/>
    </sheetView>
  </sheetViews>
  <sheetFormatPr defaultRowHeight="15" x14ac:dyDescent="0.25"/>
  <cols>
    <col min="1" max="1" width="4" customWidth="1"/>
    <col min="2" max="2" width="25.5703125" style="5" bestFit="1" customWidth="1"/>
    <col min="3" max="3" width="3" style="3" customWidth="1"/>
    <col min="4" max="4" width="15" style="6" customWidth="1"/>
    <col min="5" max="6" width="15" style="3" customWidth="1"/>
    <col min="7" max="8" width="3" style="3" customWidth="1"/>
    <col min="9" max="9" width="24.140625" style="6" bestFit="1" customWidth="1"/>
    <col min="10" max="10" width="15" style="6" customWidth="1"/>
    <col min="11" max="11" width="15" style="3" customWidth="1"/>
    <col min="12" max="12" width="27.5703125" style="3" bestFit="1" customWidth="1"/>
    <col min="13" max="13" width="15" style="3" customWidth="1"/>
    <col min="14" max="14" width="43.42578125" style="3" bestFit="1" customWidth="1"/>
    <col min="15" max="15" width="46" style="3" bestFit="1" customWidth="1"/>
    <col min="16" max="16" width="21.85546875" style="3" bestFit="1" customWidth="1"/>
    <col min="17" max="17" width="32.85546875" style="3" bestFit="1" customWidth="1"/>
    <col min="18" max="18" width="3" style="1" customWidth="1"/>
    <col min="19" max="19" width="25.5703125" style="1" bestFit="1" customWidth="1"/>
    <col min="20" max="20" width="22.28515625" bestFit="1" customWidth="1"/>
  </cols>
  <sheetData>
    <row r="1" spans="1:20" ht="75" x14ac:dyDescent="0.25">
      <c r="A1" s="27" t="s">
        <v>0</v>
      </c>
      <c r="B1" s="28"/>
      <c r="C1" s="7"/>
      <c r="D1" s="9" t="s">
        <v>9</v>
      </c>
      <c r="E1" s="4" t="s">
        <v>3</v>
      </c>
      <c r="F1" s="4" t="s">
        <v>5</v>
      </c>
      <c r="G1" s="14"/>
      <c r="H1" s="4"/>
      <c r="I1" s="9" t="s">
        <v>10</v>
      </c>
      <c r="J1" s="9" t="s">
        <v>6</v>
      </c>
      <c r="K1" s="4" t="s">
        <v>4</v>
      </c>
      <c r="L1" s="4" t="s">
        <v>11</v>
      </c>
      <c r="M1" s="4" t="s">
        <v>7</v>
      </c>
      <c r="N1" s="4" t="s">
        <v>8</v>
      </c>
      <c r="O1" s="4" t="s">
        <v>91</v>
      </c>
      <c r="P1" s="4" t="s">
        <v>86</v>
      </c>
      <c r="Q1" s="4" t="s">
        <v>2</v>
      </c>
      <c r="R1" s="2"/>
    </row>
    <row r="2" spans="1:20" ht="15" customHeight="1" x14ac:dyDescent="0.25">
      <c r="A2" s="29" t="s">
        <v>24</v>
      </c>
      <c r="B2" s="5" t="s">
        <v>1</v>
      </c>
      <c r="D2" s="8">
        <v>696392</v>
      </c>
      <c r="E2" s="3">
        <v>5778</v>
      </c>
      <c r="F2" s="3">
        <v>1.5809999999999999E-5</v>
      </c>
      <c r="G2" s="15"/>
      <c r="I2" s="20">
        <f>F2*9460700000000</f>
        <v>149573667</v>
      </c>
      <c r="J2" s="20">
        <v>6371</v>
      </c>
      <c r="K2" s="21">
        <v>5.6699999999999998E-8</v>
      </c>
      <c r="L2" s="20">
        <f>4*PI()*(D2^2)</f>
        <v>6094209934579.1006</v>
      </c>
      <c r="M2" s="20">
        <f t="shared" ref="M2:M14" si="0">K2*(E2^4)</f>
        <v>63196526.546029195</v>
      </c>
      <c r="N2" s="20">
        <f>M2*(L2*1000000)</f>
        <v>3.8513289990770295E+26</v>
      </c>
      <c r="O2" s="20">
        <f>(4*PI())*(I2^2)</f>
        <v>2.8113838533948938E+17</v>
      </c>
      <c r="P2" s="20">
        <f>PI()*(J2^2)</f>
        <v>127516117.97744706</v>
      </c>
      <c r="Q2" s="20">
        <f t="shared" ref="Q2:Q33" si="1">IFERROR(N2*(P2/O2),"")</f>
        <v>1.7468497673244893E+17</v>
      </c>
      <c r="R2" s="11"/>
      <c r="S2" s="36"/>
      <c r="T2" s="24"/>
    </row>
    <row r="3" spans="1:20" x14ac:dyDescent="0.25">
      <c r="A3" s="30"/>
      <c r="B3" s="5" t="s">
        <v>12</v>
      </c>
      <c r="D3" s="8">
        <v>107300</v>
      </c>
      <c r="E3" s="3">
        <v>3042</v>
      </c>
      <c r="F3" s="3">
        <v>4.2430000000000003</v>
      </c>
      <c r="G3" s="15"/>
      <c r="I3" s="20">
        <f t="shared" ref="I3:I13" si="2">F3*9460700000000</f>
        <v>40141750100000</v>
      </c>
      <c r="J3" s="20">
        <v>6371</v>
      </c>
      <c r="K3" s="21">
        <v>5.6699999999999998E-8</v>
      </c>
      <c r="L3" s="20">
        <f t="shared" ref="L3:L66" si="3">4*PI()*(D3^2)</f>
        <v>144680269130.59531</v>
      </c>
      <c r="M3" s="20">
        <f t="shared" si="0"/>
        <v>4855342.8011083631</v>
      </c>
      <c r="N3" s="20">
        <f t="shared" ref="N3:N13" si="4">M3*(L3*1000000)</f>
        <v>7.0247230318565637E+23</v>
      </c>
      <c r="O3" s="20">
        <f t="shared" ref="O3:O66" si="5">(4*PI())*(I3^2)</f>
        <v>2.0248948223498886E+28</v>
      </c>
      <c r="P3" s="20">
        <f t="shared" ref="P3:P66" si="6">PI()*(J3^2)</f>
        <v>127516117.97744706</v>
      </c>
      <c r="Q3" s="20">
        <f t="shared" si="1"/>
        <v>4423.7626616555635</v>
      </c>
      <c r="R3" s="11"/>
      <c r="S3" s="37"/>
    </row>
    <row r="4" spans="1:20" x14ac:dyDescent="0.25">
      <c r="A4" s="30"/>
      <c r="B4" s="5" t="s">
        <v>13</v>
      </c>
      <c r="D4" s="8">
        <v>851119</v>
      </c>
      <c r="E4" s="3">
        <v>5790</v>
      </c>
      <c r="F4" s="3">
        <v>4.367</v>
      </c>
      <c r="G4" s="15"/>
      <c r="I4" s="20">
        <f t="shared" si="2"/>
        <v>41314876900000</v>
      </c>
      <c r="J4" s="20">
        <v>6371</v>
      </c>
      <c r="K4" s="21">
        <v>5.6699999999999998E-8</v>
      </c>
      <c r="L4" s="20">
        <f t="shared" si="3"/>
        <v>9103123510813.3926</v>
      </c>
      <c r="M4" s="20">
        <f t="shared" si="0"/>
        <v>63723161.421926998</v>
      </c>
      <c r="N4" s="20">
        <f t="shared" si="4"/>
        <v>5.8007980892330063E+26</v>
      </c>
      <c r="O4" s="20">
        <f t="shared" si="5"/>
        <v>2.1449777432003309E+28</v>
      </c>
      <c r="P4" s="20">
        <f t="shared" si="6"/>
        <v>127516117.97744706</v>
      </c>
      <c r="Q4" s="20">
        <f t="shared" si="1"/>
        <v>3448498.5023963554</v>
      </c>
      <c r="R4" s="11"/>
    </row>
    <row r="5" spans="1:20" x14ac:dyDescent="0.25">
      <c r="A5" s="30"/>
      <c r="B5" s="5" t="s">
        <v>14</v>
      </c>
      <c r="D5" s="8">
        <v>600787</v>
      </c>
      <c r="E5" s="3">
        <v>3042</v>
      </c>
      <c r="F5" s="3">
        <v>4.367</v>
      </c>
      <c r="G5" s="15"/>
      <c r="I5" s="20">
        <f t="shared" si="2"/>
        <v>41314876900000</v>
      </c>
      <c r="J5" s="20">
        <v>6371</v>
      </c>
      <c r="K5" s="21">
        <v>5.6699999999999998E-8</v>
      </c>
      <c r="L5" s="20">
        <f t="shared" si="3"/>
        <v>4535768884797.9043</v>
      </c>
      <c r="M5" s="20">
        <f t="shared" si="0"/>
        <v>4855342.8011083631</v>
      </c>
      <c r="N5" s="20">
        <f t="shared" si="4"/>
        <v>2.2022712802294812E+25</v>
      </c>
      <c r="O5" s="20">
        <f t="shared" si="5"/>
        <v>2.1449777432003309E+28</v>
      </c>
      <c r="P5" s="20">
        <f t="shared" si="6"/>
        <v>127516117.97744706</v>
      </c>
      <c r="Q5" s="20">
        <f t="shared" si="1"/>
        <v>130922.14372774411</v>
      </c>
      <c r="R5" s="11"/>
    </row>
    <row r="6" spans="1:20" x14ac:dyDescent="0.25">
      <c r="A6" s="30"/>
      <c r="B6" s="5" t="s">
        <v>15</v>
      </c>
      <c r="D6" s="8">
        <v>136400</v>
      </c>
      <c r="E6" s="3">
        <v>3134</v>
      </c>
      <c r="F6" s="3">
        <v>5.9779999999999998</v>
      </c>
      <c r="G6" s="15"/>
      <c r="I6" s="20">
        <f t="shared" si="2"/>
        <v>56556064600000</v>
      </c>
      <c r="J6" s="20">
        <v>6371</v>
      </c>
      <c r="K6" s="21">
        <v>5.6699999999999998E-8</v>
      </c>
      <c r="L6" s="20">
        <f t="shared" si="3"/>
        <v>233796822625.32782</v>
      </c>
      <c r="M6" s="20">
        <f t="shared" si="0"/>
        <v>5469895.4750585714</v>
      </c>
      <c r="N6" s="20">
        <f t="shared" si="4"/>
        <v>1.2788441821613519E+24</v>
      </c>
      <c r="O6" s="20">
        <f t="shared" si="5"/>
        <v>4.0194647818038836E+28</v>
      </c>
      <c r="P6" s="20">
        <f t="shared" si="6"/>
        <v>127516117.97744706</v>
      </c>
      <c r="Q6" s="20">
        <f t="shared" si="1"/>
        <v>4057.0885543142786</v>
      </c>
      <c r="R6" s="11"/>
    </row>
    <row r="7" spans="1:20" x14ac:dyDescent="0.25">
      <c r="A7" s="30"/>
      <c r="B7" s="5" t="s">
        <v>16</v>
      </c>
      <c r="D7" s="8">
        <v>178415.63</v>
      </c>
      <c r="E7" s="3">
        <v>1429</v>
      </c>
      <c r="F7" s="3">
        <v>6.516</v>
      </c>
      <c r="G7" s="15"/>
      <c r="I7" s="20">
        <f t="shared" si="2"/>
        <v>61645921200000</v>
      </c>
      <c r="J7" s="20">
        <v>6371</v>
      </c>
      <c r="K7" s="21">
        <v>5.6699999999999998E-8</v>
      </c>
      <c r="L7" s="20">
        <f t="shared" si="3"/>
        <v>400014431344.64471</v>
      </c>
      <c r="M7" s="20">
        <f t="shared" si="0"/>
        <v>236435.11297011271</v>
      </c>
      <c r="N7" s="20">
        <f t="shared" si="4"/>
        <v>9.4577457264646464E+22</v>
      </c>
      <c r="O7" s="20">
        <f t="shared" si="5"/>
        <v>4.7754967917048987E+28</v>
      </c>
      <c r="P7" s="20">
        <f t="shared" si="6"/>
        <v>127516117.97744706</v>
      </c>
      <c r="Q7" s="20">
        <f t="shared" si="1"/>
        <v>252.54231600603853</v>
      </c>
      <c r="R7" s="11"/>
    </row>
    <row r="8" spans="1:20" x14ac:dyDescent="0.25">
      <c r="A8" s="30"/>
      <c r="B8" s="5" t="s">
        <v>17</v>
      </c>
      <c r="D8" s="8">
        <v>178415.63</v>
      </c>
      <c r="E8" s="3">
        <v>1429</v>
      </c>
      <c r="F8" s="3">
        <v>6.516</v>
      </c>
      <c r="G8" s="15"/>
      <c r="I8" s="20">
        <f t="shared" si="2"/>
        <v>61645921200000</v>
      </c>
      <c r="J8" s="20">
        <v>6371</v>
      </c>
      <c r="K8" s="21">
        <v>5.6699999999999998E-8</v>
      </c>
      <c r="L8" s="20">
        <f t="shared" si="3"/>
        <v>400014431344.64471</v>
      </c>
      <c r="M8" s="20">
        <f t="shared" si="0"/>
        <v>236435.11297011271</v>
      </c>
      <c r="N8" s="20">
        <f t="shared" si="4"/>
        <v>9.4577457264646464E+22</v>
      </c>
      <c r="O8" s="20">
        <f t="shared" si="5"/>
        <v>4.7754967917048987E+28</v>
      </c>
      <c r="P8" s="20">
        <f t="shared" si="6"/>
        <v>127516117.97744706</v>
      </c>
      <c r="Q8" s="20">
        <f t="shared" si="1"/>
        <v>252.54231600603853</v>
      </c>
      <c r="R8" s="11"/>
    </row>
    <row r="9" spans="1:20" x14ac:dyDescent="0.25">
      <c r="A9" s="30"/>
      <c r="B9" s="5" t="s">
        <v>18</v>
      </c>
      <c r="D9" s="8">
        <v>111312</v>
      </c>
      <c r="E9" s="3">
        <v>2800</v>
      </c>
      <c r="F9" s="3">
        <v>7.7949999999999999</v>
      </c>
      <c r="G9" s="15"/>
      <c r="I9" s="20">
        <f t="shared" si="2"/>
        <v>73746156500000</v>
      </c>
      <c r="J9" s="20">
        <v>6371</v>
      </c>
      <c r="K9" s="21">
        <v>5.6699999999999998E-8</v>
      </c>
      <c r="L9" s="20">
        <f t="shared" si="3"/>
        <v>155701872694.53342</v>
      </c>
      <c r="M9" s="20">
        <f t="shared" si="0"/>
        <v>3485099.52</v>
      </c>
      <c r="N9" s="20">
        <f t="shared" si="4"/>
        <v>5.4263652179081946E+23</v>
      </c>
      <c r="O9" s="20">
        <f t="shared" si="5"/>
        <v>6.8342151275594747E+28</v>
      </c>
      <c r="P9" s="20">
        <f t="shared" si="6"/>
        <v>127516117.97744706</v>
      </c>
      <c r="Q9" s="20">
        <f t="shared" si="1"/>
        <v>1012.4776794414347</v>
      </c>
      <c r="R9" s="11"/>
    </row>
    <row r="10" spans="1:20" x14ac:dyDescent="0.25">
      <c r="A10" s="30"/>
      <c r="B10" s="5" t="s">
        <v>19</v>
      </c>
      <c r="D10" s="8">
        <v>273528</v>
      </c>
      <c r="E10" s="3">
        <v>3828</v>
      </c>
      <c r="F10" s="3">
        <v>8.3070000000000004</v>
      </c>
      <c r="G10" s="15"/>
      <c r="I10" s="20">
        <f t="shared" si="2"/>
        <v>78590034900000</v>
      </c>
      <c r="J10" s="20">
        <v>6371</v>
      </c>
      <c r="K10" s="21">
        <v>5.6699999999999998E-8</v>
      </c>
      <c r="L10" s="20">
        <f t="shared" si="3"/>
        <v>940185272672.3125</v>
      </c>
      <c r="M10" s="20">
        <f t="shared" si="0"/>
        <v>12175050.613354675</v>
      </c>
      <c r="N10" s="20">
        <f t="shared" si="4"/>
        <v>1.144680328071607E+25</v>
      </c>
      <c r="O10" s="20">
        <f t="shared" si="5"/>
        <v>7.7614850856589435E+28</v>
      </c>
      <c r="P10" s="20">
        <f t="shared" si="6"/>
        <v>127516117.97744706</v>
      </c>
      <c r="Q10" s="20">
        <f t="shared" si="1"/>
        <v>18806.348289007827</v>
      </c>
      <c r="R10" s="11"/>
    </row>
    <row r="11" spans="1:20" x14ac:dyDescent="0.25">
      <c r="A11" s="30"/>
      <c r="B11" s="5" t="s">
        <v>20</v>
      </c>
      <c r="D11" s="8">
        <v>1190000</v>
      </c>
      <c r="E11" s="3">
        <v>9940</v>
      </c>
      <c r="F11" s="3">
        <v>8.6110000000000007</v>
      </c>
      <c r="G11" s="15"/>
      <c r="I11" s="20">
        <f t="shared" si="2"/>
        <v>81466087700000</v>
      </c>
      <c r="J11" s="20">
        <v>6371</v>
      </c>
      <c r="K11" s="21">
        <v>5.6699999999999998E-8</v>
      </c>
      <c r="L11" s="20">
        <f t="shared" si="3"/>
        <v>17795237426994.023</v>
      </c>
      <c r="M11" s="20">
        <f t="shared" si="0"/>
        <v>553513982.84683204</v>
      </c>
      <c r="N11" s="20">
        <f t="shared" si="4"/>
        <v>9.8499127439204743E+27</v>
      </c>
      <c r="O11" s="20">
        <f t="shared" si="5"/>
        <v>8.3399526476687278E+28</v>
      </c>
      <c r="P11" s="20">
        <f t="shared" si="6"/>
        <v>127516117.97744706</v>
      </c>
      <c r="Q11" s="20">
        <f t="shared" si="1"/>
        <v>15060308.955979737</v>
      </c>
      <c r="R11" s="11"/>
    </row>
    <row r="12" spans="1:20" x14ac:dyDescent="0.25">
      <c r="A12" s="30"/>
      <c r="B12" s="5" t="s">
        <v>21</v>
      </c>
      <c r="D12" s="8">
        <v>97494.88</v>
      </c>
      <c r="E12" s="3">
        <v>2670</v>
      </c>
      <c r="F12" s="3">
        <v>8.73</v>
      </c>
      <c r="G12" s="15"/>
      <c r="I12" s="20">
        <f t="shared" si="2"/>
        <v>82591911000000</v>
      </c>
      <c r="J12" s="20">
        <v>6371</v>
      </c>
      <c r="K12" s="21">
        <v>5.6699999999999998E-8</v>
      </c>
      <c r="L12" s="20">
        <f t="shared" si="3"/>
        <v>119446514717.75038</v>
      </c>
      <c r="M12" s="20">
        <f t="shared" si="0"/>
        <v>2881562.9024069998</v>
      </c>
      <c r="N12" s="20">
        <f t="shared" si="4"/>
        <v>3.4419264563248121E+23</v>
      </c>
      <c r="O12" s="20">
        <f t="shared" si="5"/>
        <v>8.5720539118829147E+28</v>
      </c>
      <c r="P12" s="20">
        <f t="shared" si="6"/>
        <v>127516117.97744706</v>
      </c>
      <c r="Q12" s="20">
        <f t="shared" si="1"/>
        <v>512.01392873415</v>
      </c>
      <c r="R12" s="11"/>
    </row>
    <row r="13" spans="1:20" x14ac:dyDescent="0.25">
      <c r="A13" s="30"/>
      <c r="B13" s="5" t="s">
        <v>22</v>
      </c>
      <c r="D13" s="8">
        <v>97494.88</v>
      </c>
      <c r="E13" s="3">
        <v>2650</v>
      </c>
      <c r="F13" s="3">
        <v>8.73</v>
      </c>
      <c r="G13" s="15"/>
      <c r="I13" s="20">
        <f t="shared" si="2"/>
        <v>82591911000000</v>
      </c>
      <c r="J13" s="20">
        <v>6371</v>
      </c>
      <c r="K13" s="21">
        <v>5.6699999999999998E-8</v>
      </c>
      <c r="L13" s="20">
        <f t="shared" si="3"/>
        <v>119446514717.75038</v>
      </c>
      <c r="M13" s="20">
        <f t="shared" si="0"/>
        <v>2796189.2043749997</v>
      </c>
      <c r="N13" s="20">
        <f t="shared" si="4"/>
        <v>3.3399505495399314E+23</v>
      </c>
      <c r="O13" s="20">
        <f t="shared" si="5"/>
        <v>8.5720539118829147E+28</v>
      </c>
      <c r="P13" s="20">
        <f t="shared" si="6"/>
        <v>127516117.97744706</v>
      </c>
      <c r="Q13" s="20">
        <f t="shared" si="1"/>
        <v>496.84420174210214</v>
      </c>
      <c r="R13" s="11"/>
    </row>
    <row r="14" spans="1:20" x14ac:dyDescent="0.25">
      <c r="A14" s="31"/>
      <c r="B14" s="5" t="s">
        <v>23</v>
      </c>
      <c r="D14" s="8">
        <v>166968</v>
      </c>
      <c r="E14" s="3">
        <v>3340</v>
      </c>
      <c r="F14" s="3">
        <v>9.5890000000000004</v>
      </c>
      <c r="G14" s="15"/>
      <c r="I14" s="20">
        <f t="shared" ref="I14" si="7">F14*9460700000000</f>
        <v>90718652300000</v>
      </c>
      <c r="J14" s="20">
        <v>6371</v>
      </c>
      <c r="K14" s="21">
        <v>5.6699999999999998E-8</v>
      </c>
      <c r="L14" s="20">
        <f t="shared" si="3"/>
        <v>350329213562.7002</v>
      </c>
      <c r="M14" s="20">
        <f t="shared" si="0"/>
        <v>7056168.2241119994</v>
      </c>
      <c r="N14" s="20">
        <f t="shared" ref="N14" si="8">M14*(L14*1000000)</f>
        <v>2.4719818647192716E+24</v>
      </c>
      <c r="O14" s="20">
        <f t="shared" si="5"/>
        <v>1.0341964522429446E+29</v>
      </c>
      <c r="P14" s="20">
        <f t="shared" si="6"/>
        <v>127516117.97744706</v>
      </c>
      <c r="Q14" s="20">
        <f t="shared" si="1"/>
        <v>3047.9463588954959</v>
      </c>
      <c r="R14" s="11"/>
    </row>
    <row r="15" spans="1:20" ht="15" customHeight="1" x14ac:dyDescent="0.25">
      <c r="A15" s="30" t="s">
        <v>65</v>
      </c>
      <c r="B15" s="5" t="s">
        <v>25</v>
      </c>
      <c r="D15" s="8">
        <v>11312</v>
      </c>
      <c r="E15" s="3">
        <v>2799</v>
      </c>
      <c r="F15" s="3">
        <v>10.321999999999999</v>
      </c>
      <c r="G15" s="15"/>
      <c r="I15" s="20">
        <f t="shared" ref="I15:I40" si="9">F15*9460700000000</f>
        <v>97653345400000</v>
      </c>
      <c r="J15" s="20">
        <v>6371</v>
      </c>
      <c r="K15" s="21">
        <v>5.6699999999999998E-8</v>
      </c>
      <c r="L15" s="20">
        <f t="shared" si="3"/>
        <v>1608009673.0155053</v>
      </c>
      <c r="M15" s="20">
        <f t="shared" ref="M15:M40" si="10">K15*(E15^4)</f>
        <v>3480123.4729330167</v>
      </c>
      <c r="N15" s="20">
        <f t="shared" ref="N15:N40" si="11">M15*(L15*1000000)</f>
        <v>5.5960722077646051E+21</v>
      </c>
      <c r="O15" s="20">
        <f t="shared" si="5"/>
        <v>1.1983512019863003E+29</v>
      </c>
      <c r="P15" s="20">
        <f t="shared" si="6"/>
        <v>127516117.97744706</v>
      </c>
      <c r="Q15" s="20">
        <f t="shared" si="1"/>
        <v>5.9547601961163785</v>
      </c>
      <c r="R15" s="11"/>
    </row>
    <row r="16" spans="1:20" x14ac:dyDescent="0.25">
      <c r="A16" s="30"/>
      <c r="B16" s="5" t="s">
        <v>26</v>
      </c>
      <c r="D16" s="8">
        <v>0.7</v>
      </c>
      <c r="E16" s="3">
        <v>5084</v>
      </c>
      <c r="F16" s="3">
        <v>10.522</v>
      </c>
      <c r="G16" s="15"/>
      <c r="I16" s="20">
        <f t="shared" si="9"/>
        <v>99545485400000</v>
      </c>
      <c r="J16" s="20">
        <v>6371</v>
      </c>
      <c r="K16" s="21">
        <v>5.6699999999999998E-8</v>
      </c>
      <c r="L16" s="20">
        <f t="shared" si="3"/>
        <v>6.1575216010359934</v>
      </c>
      <c r="M16" s="20">
        <f t="shared" si="10"/>
        <v>37879586.229266606</v>
      </c>
      <c r="N16" s="20">
        <f t="shared" si="11"/>
        <v>233244370445014.69</v>
      </c>
      <c r="O16" s="20">
        <f t="shared" si="5"/>
        <v>1.2452398236603969E+29</v>
      </c>
      <c r="P16" s="20">
        <f t="shared" si="6"/>
        <v>127516117.97744706</v>
      </c>
      <c r="Q16" s="21">
        <f t="shared" si="1"/>
        <v>2.388489035936361E-7</v>
      </c>
      <c r="R16" s="11"/>
    </row>
    <row r="17" spans="1:18" x14ac:dyDescent="0.25">
      <c r="A17" s="30"/>
      <c r="B17" s="5" t="s">
        <v>27</v>
      </c>
      <c r="D17" s="8">
        <f>D2*0.459</f>
        <v>319643.92800000001</v>
      </c>
      <c r="E17" s="3">
        <v>3626</v>
      </c>
      <c r="F17" s="3">
        <v>10.742000000000001</v>
      </c>
      <c r="G17" s="15"/>
      <c r="I17" s="20">
        <f t="shared" si="9"/>
        <v>101626839400000.02</v>
      </c>
      <c r="J17" s="20">
        <v>6371</v>
      </c>
      <c r="K17" s="21">
        <v>5.6699999999999998E-8</v>
      </c>
      <c r="L17" s="20">
        <f t="shared" si="3"/>
        <v>1283934243227.0596</v>
      </c>
      <c r="M17" s="20">
        <f t="shared" si="10"/>
        <v>9801538.6757550184</v>
      </c>
      <c r="N17" s="20">
        <f t="shared" si="11"/>
        <v>1.2584531142116273E+25</v>
      </c>
      <c r="O17" s="20">
        <f t="shared" si="5"/>
        <v>1.2978565774699246E+29</v>
      </c>
      <c r="P17" s="20">
        <f t="shared" si="6"/>
        <v>127516117.97744706</v>
      </c>
      <c r="Q17" s="20">
        <f t="shared" si="1"/>
        <v>12364.467581905381</v>
      </c>
      <c r="R17" s="11"/>
    </row>
    <row r="18" spans="1:18" x14ac:dyDescent="0.25">
      <c r="A18" s="30"/>
      <c r="B18" s="5" t="s">
        <v>28</v>
      </c>
      <c r="D18" s="8">
        <v>136844</v>
      </c>
      <c r="E18" s="3">
        <v>3180</v>
      </c>
      <c r="F18" s="3">
        <v>10.919</v>
      </c>
      <c r="G18" s="15"/>
      <c r="I18" s="20">
        <f t="shared" si="9"/>
        <v>103301383300000</v>
      </c>
      <c r="J18" s="20">
        <v>6371</v>
      </c>
      <c r="K18" s="21">
        <v>5.6699999999999998E-8</v>
      </c>
      <c r="L18" s="20">
        <f t="shared" si="3"/>
        <v>235321378930.56241</v>
      </c>
      <c r="M18" s="20">
        <f t="shared" si="10"/>
        <v>5798177.934192</v>
      </c>
      <c r="N18" s="20">
        <f t="shared" si="11"/>
        <v>1.3644352267588211E+24</v>
      </c>
      <c r="O18" s="20">
        <f t="shared" si="5"/>
        <v>1.3409794988939842E+29</v>
      </c>
      <c r="P18" s="20">
        <f t="shared" si="6"/>
        <v>127516117.97744706</v>
      </c>
      <c r="Q18" s="20">
        <f t="shared" si="1"/>
        <v>1297.4656472486292</v>
      </c>
      <c r="R18" s="11"/>
    </row>
    <row r="19" spans="1:18" x14ac:dyDescent="0.25">
      <c r="A19" s="30"/>
      <c r="B19" s="5" t="s">
        <v>73</v>
      </c>
      <c r="D19" s="8">
        <f>D2-0.1732</f>
        <v>696391.82680000004</v>
      </c>
      <c r="E19" s="3">
        <v>1024</v>
      </c>
      <c r="F19" s="3">
        <v>11.089</v>
      </c>
      <c r="G19" s="15"/>
      <c r="I19" s="20">
        <f t="shared" ref="I19" si="12">F19*9460700000000</f>
        <v>104909702300000</v>
      </c>
      <c r="J19" s="20">
        <v>6371</v>
      </c>
      <c r="K19" s="21">
        <v>5.6699999999999998E-8</v>
      </c>
      <c r="L19" s="20">
        <f t="shared" si="3"/>
        <v>6094206903191.5225</v>
      </c>
      <c r="M19" s="20">
        <f t="shared" ref="M19" si="13">K19*(E19^4)</f>
        <v>62342.309294899198</v>
      </c>
      <c r="N19" s="20">
        <f t="shared" ref="N19" si="14">M19*(L19*1000000)</f>
        <v>3.7992693166587568E+23</v>
      </c>
      <c r="O19" s="20">
        <f t="shared" si="5"/>
        <v>1.3830604846900399E+29</v>
      </c>
      <c r="P19" s="20">
        <f t="shared" si="6"/>
        <v>127516117.97744706</v>
      </c>
      <c r="Q19" s="20">
        <f t="shared" si="1"/>
        <v>350.28697571366712</v>
      </c>
      <c r="R19" s="11"/>
    </row>
    <row r="20" spans="1:18" x14ac:dyDescent="0.25">
      <c r="A20" s="30"/>
      <c r="B20" s="5" t="s">
        <v>29</v>
      </c>
      <c r="D20" s="8">
        <f>D2*0.5526</f>
        <v>384826.21919999999</v>
      </c>
      <c r="E20" s="3">
        <v>3194</v>
      </c>
      <c r="F20" s="3">
        <v>11.266</v>
      </c>
      <c r="G20" s="15"/>
      <c r="I20" s="20">
        <f t="shared" si="9"/>
        <v>106584246200000</v>
      </c>
      <c r="J20" s="20">
        <v>6371</v>
      </c>
      <c r="K20" s="21">
        <v>5.6699999999999998E-8</v>
      </c>
      <c r="L20" s="20">
        <f t="shared" si="3"/>
        <v>1860969142482.2319</v>
      </c>
      <c r="M20" s="20">
        <f t="shared" si="10"/>
        <v>5900960.4802373229</v>
      </c>
      <c r="N20" s="20">
        <f t="shared" si="11"/>
        <v>1.098150536472879E+25</v>
      </c>
      <c r="O20" s="20">
        <f t="shared" si="5"/>
        <v>1.4275650278060021E+29</v>
      </c>
      <c r="P20" s="20">
        <f t="shared" si="6"/>
        <v>127516117.97744706</v>
      </c>
      <c r="Q20" s="20">
        <f t="shared" si="1"/>
        <v>9809.1428858470135</v>
      </c>
      <c r="R20" s="11"/>
    </row>
    <row r="21" spans="1:18" x14ac:dyDescent="0.25">
      <c r="A21" s="30"/>
      <c r="B21" s="5" t="s">
        <v>30</v>
      </c>
      <c r="D21" s="8">
        <f>D2*0.5487</f>
        <v>382110.2904</v>
      </c>
      <c r="E21" s="3">
        <v>3124</v>
      </c>
      <c r="F21" s="3">
        <v>11.266</v>
      </c>
      <c r="G21" s="15"/>
      <c r="I21" s="20">
        <f t="shared" si="9"/>
        <v>106584246200000</v>
      </c>
      <c r="J21" s="20">
        <v>6371</v>
      </c>
      <c r="K21" s="21">
        <v>5.6699999999999998E-8</v>
      </c>
      <c r="L21" s="20">
        <f t="shared" si="3"/>
        <v>1834794084218.5193</v>
      </c>
      <c r="M21" s="20">
        <f t="shared" si="10"/>
        <v>5400415.3088616189</v>
      </c>
      <c r="N21" s="20">
        <f t="shared" si="11"/>
        <v>9.9086500610224259E+24</v>
      </c>
      <c r="O21" s="20">
        <f t="shared" si="5"/>
        <v>1.4275650278060021E+29</v>
      </c>
      <c r="P21" s="20">
        <f t="shared" si="6"/>
        <v>127516117.97744706</v>
      </c>
      <c r="Q21" s="20">
        <f t="shared" si="1"/>
        <v>8850.8233640357685</v>
      </c>
      <c r="R21" s="11"/>
    </row>
    <row r="22" spans="1:18" x14ac:dyDescent="0.25">
      <c r="A22" s="30"/>
      <c r="B22" s="5" t="s">
        <v>31</v>
      </c>
      <c r="D22" s="8">
        <v>4.07</v>
      </c>
      <c r="E22" s="3">
        <v>605</v>
      </c>
      <c r="F22" s="3">
        <v>11.266</v>
      </c>
      <c r="G22" s="15"/>
      <c r="I22" s="20">
        <f t="shared" si="9"/>
        <v>106584246200000</v>
      </c>
      <c r="J22" s="20">
        <v>6371</v>
      </c>
      <c r="K22" s="21">
        <v>5.6699999999999998E-8</v>
      </c>
      <c r="L22" s="20">
        <f t="shared" si="3"/>
        <v>208.16067258979828</v>
      </c>
      <c r="M22" s="20">
        <f t="shared" si="10"/>
        <v>7596.3428454374998</v>
      </c>
      <c r="N22" s="20">
        <f t="shared" si="11"/>
        <v>1581259835928.9719</v>
      </c>
      <c r="O22" s="20">
        <f t="shared" si="5"/>
        <v>1.4275650278060021E+29</v>
      </c>
      <c r="P22" s="20">
        <f t="shared" si="6"/>
        <v>127516117.97744706</v>
      </c>
      <c r="Q22" s="26">
        <f t="shared" si="1"/>
        <v>1.4124478525591797E-9</v>
      </c>
      <c r="R22" s="11"/>
    </row>
    <row r="23" spans="1:18" x14ac:dyDescent="0.25">
      <c r="A23" s="30"/>
      <c r="B23" s="5" t="s">
        <v>32</v>
      </c>
      <c r="D23" s="8">
        <v>1424794</v>
      </c>
      <c r="E23" s="3">
        <v>6530</v>
      </c>
      <c r="F23" s="3">
        <v>11.401999999999999</v>
      </c>
      <c r="G23" s="15"/>
      <c r="I23" s="20">
        <f t="shared" si="9"/>
        <v>107870901400000</v>
      </c>
      <c r="J23" s="20">
        <v>6371</v>
      </c>
      <c r="K23" s="21">
        <v>5.6699999999999998E-8</v>
      </c>
      <c r="L23" s="20">
        <f t="shared" si="3"/>
        <v>25510209145861.906</v>
      </c>
      <c r="M23" s="20">
        <f t="shared" si="10"/>
        <v>103094568.204327</v>
      </c>
      <c r="N23" s="20">
        <f t="shared" si="11"/>
        <v>2.629963996694707E+27</v>
      </c>
      <c r="O23" s="20">
        <f t="shared" si="5"/>
        <v>1.4622393929832105E+29</v>
      </c>
      <c r="P23" s="20">
        <f t="shared" si="6"/>
        <v>127516117.97744706</v>
      </c>
      <c r="Q23" s="20">
        <f t="shared" si="1"/>
        <v>2293487.6524887271</v>
      </c>
      <c r="R23" s="11"/>
    </row>
    <row r="24" spans="1:18" x14ac:dyDescent="0.25">
      <c r="A24" s="30"/>
      <c r="B24" s="5" t="s">
        <v>33</v>
      </c>
      <c r="D24" s="8">
        <f>D2*0.01234</f>
        <v>8593.477280000001</v>
      </c>
      <c r="E24" s="3">
        <v>7740</v>
      </c>
      <c r="F24" s="3">
        <v>11.401999999999999</v>
      </c>
      <c r="G24" s="15"/>
      <c r="I24" s="20">
        <f t="shared" si="9"/>
        <v>107870901400000</v>
      </c>
      <c r="J24" s="20">
        <v>6371</v>
      </c>
      <c r="K24" s="21">
        <v>5.6699999999999998E-8</v>
      </c>
      <c r="L24" s="20">
        <f t="shared" si="3"/>
        <v>927999474.31399345</v>
      </c>
      <c r="M24" s="20">
        <f t="shared" si="10"/>
        <v>203491794.49099198</v>
      </c>
      <c r="N24" s="20">
        <f t="shared" si="11"/>
        <v>1.8884027831485175E+23</v>
      </c>
      <c r="O24" s="20">
        <f t="shared" si="5"/>
        <v>1.4622393929832105E+29</v>
      </c>
      <c r="P24" s="20">
        <f t="shared" si="6"/>
        <v>127516117.97744706</v>
      </c>
      <c r="Q24" s="20">
        <f t="shared" si="1"/>
        <v>164.68014282779663</v>
      </c>
      <c r="R24" s="11"/>
    </row>
    <row r="25" spans="1:18" x14ac:dyDescent="0.25">
      <c r="A25" s="30"/>
      <c r="B25" s="5" t="s">
        <v>71</v>
      </c>
      <c r="D25" s="8">
        <v>306542.65000000002</v>
      </c>
      <c r="E25" s="3">
        <v>4736</v>
      </c>
      <c r="F25" s="3">
        <v>11.403</v>
      </c>
      <c r="G25" s="15"/>
      <c r="I25" s="20">
        <f t="shared" si="9"/>
        <v>107880362100000</v>
      </c>
      <c r="J25" s="20">
        <v>6371</v>
      </c>
      <c r="K25" s="21">
        <v>5.6699999999999998E-8</v>
      </c>
      <c r="L25" s="20">
        <f t="shared" si="3"/>
        <v>1180841693553.5024</v>
      </c>
      <c r="M25" s="20">
        <f t="shared" si="10"/>
        <v>28525274.592391986</v>
      </c>
      <c r="N25" s="20">
        <f t="shared" si="11"/>
        <v>3.368383355875885E+25</v>
      </c>
      <c r="O25" s="20">
        <f t="shared" si="5"/>
        <v>1.462495892459625E+29</v>
      </c>
      <c r="P25" s="20">
        <f t="shared" si="6"/>
        <v>127516117.97744706</v>
      </c>
      <c r="Q25" s="20">
        <f t="shared" si="1"/>
        <v>29369.18808563397</v>
      </c>
      <c r="R25" s="11"/>
    </row>
    <row r="26" spans="1:18" x14ac:dyDescent="0.25">
      <c r="A26" s="30"/>
      <c r="B26" s="5" t="s">
        <v>72</v>
      </c>
      <c r="D26" s="8">
        <v>249997.66</v>
      </c>
      <c r="E26" s="3">
        <v>4322</v>
      </c>
      <c r="F26" s="3">
        <v>11.403</v>
      </c>
      <c r="G26" s="15"/>
      <c r="I26" s="20">
        <f t="shared" si="9"/>
        <v>107880362100000</v>
      </c>
      <c r="J26" s="20">
        <v>6371</v>
      </c>
      <c r="K26" s="21">
        <v>5.6699999999999998E-8</v>
      </c>
      <c r="L26" s="20">
        <f t="shared" si="3"/>
        <v>785383460812.63794</v>
      </c>
      <c r="M26" s="20">
        <f t="shared" si="10"/>
        <v>19784364.699069835</v>
      </c>
      <c r="N26" s="20">
        <f t="shared" si="11"/>
        <v>1.5538312817334852E+25</v>
      </c>
      <c r="O26" s="20">
        <f t="shared" si="5"/>
        <v>1.462495892459625E+29</v>
      </c>
      <c r="P26" s="20">
        <f t="shared" si="6"/>
        <v>127516117.97744706</v>
      </c>
      <c r="Q26" s="20">
        <f t="shared" si="1"/>
        <v>13547.971933469542</v>
      </c>
      <c r="R26" s="11"/>
    </row>
    <row r="27" spans="1:18" x14ac:dyDescent="0.25">
      <c r="A27" s="30"/>
      <c r="B27" s="5" t="s">
        <v>69</v>
      </c>
      <c r="D27" s="8">
        <v>78005.16</v>
      </c>
      <c r="E27" s="3">
        <v>4014</v>
      </c>
      <c r="F27" s="3">
        <v>11.525</v>
      </c>
      <c r="G27" s="15"/>
      <c r="I27" s="20">
        <f t="shared" si="9"/>
        <v>109034567500000</v>
      </c>
      <c r="J27" s="20">
        <v>6371</v>
      </c>
      <c r="K27" s="21">
        <v>5.6699999999999998E-8</v>
      </c>
      <c r="L27" s="20">
        <f t="shared" si="3"/>
        <v>76463914578.038101</v>
      </c>
      <c r="M27" s="20">
        <f t="shared" si="10"/>
        <v>14719482.158734987</v>
      </c>
      <c r="N27" s="20">
        <f t="shared" si="11"/>
        <v>1.1255092264184678E+24</v>
      </c>
      <c r="O27" s="20">
        <f t="shared" si="5"/>
        <v>1.4939576087244327E+29</v>
      </c>
      <c r="P27" s="20">
        <f t="shared" si="6"/>
        <v>127516117.97744706</v>
      </c>
      <c r="Q27" s="20">
        <f t="shared" si="1"/>
        <v>960.67362596200371</v>
      </c>
      <c r="R27" s="11"/>
    </row>
    <row r="28" spans="1:18" x14ac:dyDescent="0.25">
      <c r="A28" s="30"/>
      <c r="B28" s="5" t="s">
        <v>70</v>
      </c>
      <c r="D28" s="8">
        <v>58083.76</v>
      </c>
      <c r="E28" s="3">
        <v>3878</v>
      </c>
      <c r="F28" s="3">
        <v>11.525</v>
      </c>
      <c r="G28" s="15"/>
      <c r="I28" s="20">
        <f t="shared" si="9"/>
        <v>109034567500000</v>
      </c>
      <c r="J28" s="20">
        <v>6371</v>
      </c>
      <c r="K28" s="21">
        <v>5.6699999999999998E-8</v>
      </c>
      <c r="L28" s="20">
        <f t="shared" si="3"/>
        <v>42395455776.571487</v>
      </c>
      <c r="M28" s="20">
        <f t="shared" si="10"/>
        <v>12823727.412441354</v>
      </c>
      <c r="N28" s="20">
        <f t="shared" si="11"/>
        <v>5.4366776840496498E+23</v>
      </c>
      <c r="O28" s="20">
        <f t="shared" si="5"/>
        <v>1.4939576087244327E+29</v>
      </c>
      <c r="P28" s="20">
        <f t="shared" si="6"/>
        <v>127516117.97744706</v>
      </c>
      <c r="Q28" s="20">
        <f t="shared" si="1"/>
        <v>464.0453175619553</v>
      </c>
      <c r="R28" s="11"/>
    </row>
    <row r="29" spans="1:18" x14ac:dyDescent="0.25">
      <c r="A29" s="30"/>
      <c r="B29" s="5" t="s">
        <v>34</v>
      </c>
      <c r="D29" s="8">
        <v>116831.07</v>
      </c>
      <c r="E29" s="3">
        <v>3989</v>
      </c>
      <c r="F29" s="3">
        <v>11.624000000000001</v>
      </c>
      <c r="G29" s="15"/>
      <c r="I29" s="20">
        <f t="shared" si="9"/>
        <v>109971176800000</v>
      </c>
      <c r="J29" s="20">
        <v>6371</v>
      </c>
      <c r="K29" s="21">
        <v>5.6699999999999998E-8</v>
      </c>
      <c r="L29" s="20">
        <f t="shared" si="3"/>
        <v>171524662095.65033</v>
      </c>
      <c r="M29" s="20">
        <f t="shared" si="10"/>
        <v>14356190.220546944</v>
      </c>
      <c r="N29" s="20">
        <f t="shared" si="11"/>
        <v>2.4624406765601943E+24</v>
      </c>
      <c r="O29" s="20">
        <f t="shared" si="5"/>
        <v>1.519734102106277E+29</v>
      </c>
      <c r="P29" s="20">
        <f t="shared" si="6"/>
        <v>127516117.97744706</v>
      </c>
      <c r="Q29" s="20">
        <f t="shared" si="1"/>
        <v>2066.1566743124636</v>
      </c>
      <c r="R29" s="11"/>
    </row>
    <row r="30" spans="1:18" x14ac:dyDescent="0.25">
      <c r="A30" s="30"/>
      <c r="B30" s="5" t="s">
        <v>35</v>
      </c>
      <c r="D30" s="8">
        <f>D2*0.732</f>
        <v>509758.94400000002</v>
      </c>
      <c r="E30" s="3">
        <v>4630</v>
      </c>
      <c r="F30" s="3">
        <v>11.824</v>
      </c>
      <c r="G30" s="15"/>
      <c r="I30" s="20">
        <f t="shared" si="9"/>
        <v>111863316800000</v>
      </c>
      <c r="J30" s="20">
        <v>6371</v>
      </c>
      <c r="K30" s="21">
        <v>5.6699999999999998E-8</v>
      </c>
      <c r="L30" s="20">
        <f t="shared" si="3"/>
        <v>3265423943985.9121</v>
      </c>
      <c r="M30" s="20">
        <f t="shared" si="10"/>
        <v>26055956.647287</v>
      </c>
      <c r="N30" s="20">
        <f t="shared" si="11"/>
        <v>8.508374471950986E+25</v>
      </c>
      <c r="O30" s="20">
        <f t="shared" si="5"/>
        <v>1.5724804272364926E+29</v>
      </c>
      <c r="P30" s="20">
        <f t="shared" si="6"/>
        <v>127516117.97744706</v>
      </c>
      <c r="Q30" s="20">
        <f t="shared" si="1"/>
        <v>68996.399838713507</v>
      </c>
      <c r="R30" s="11"/>
    </row>
    <row r="31" spans="1:18" x14ac:dyDescent="0.25">
      <c r="A31" s="30"/>
      <c r="B31" s="5" t="s">
        <v>74</v>
      </c>
      <c r="D31" s="8">
        <f>D2*0.08</f>
        <v>55711.360000000001</v>
      </c>
      <c r="E31" s="3">
        <v>1352</v>
      </c>
      <c r="F31" s="3">
        <v>11.824</v>
      </c>
      <c r="G31" s="15"/>
      <c r="I31" s="20">
        <f t="shared" ref="I31" si="15">F31*9460700000000</f>
        <v>111863316800000</v>
      </c>
      <c r="J31" s="20">
        <v>6371</v>
      </c>
      <c r="K31" s="21">
        <v>5.6699999999999998E-8</v>
      </c>
      <c r="L31" s="20">
        <f t="shared" si="3"/>
        <v>39002943581.306244</v>
      </c>
      <c r="M31" s="20">
        <f t="shared" ref="M31" si="16">K31*(E31^4)</f>
        <v>189447.9129833472</v>
      </c>
      <c r="N31" s="20">
        <f t="shared" ref="N31" si="17">M31*(L31*1000000)</f>
        <v>7.3890262616857043E+21</v>
      </c>
      <c r="O31" s="20">
        <f t="shared" si="5"/>
        <v>1.5724804272364926E+29</v>
      </c>
      <c r="P31" s="20">
        <f t="shared" si="6"/>
        <v>127516117.97744706</v>
      </c>
      <c r="Q31" s="20">
        <f t="shared" si="1"/>
        <v>5.9919343236560625</v>
      </c>
      <c r="R31" s="11"/>
    </row>
    <row r="32" spans="1:18" x14ac:dyDescent="0.25">
      <c r="A32" s="30"/>
      <c r="B32" s="5" t="s">
        <v>75</v>
      </c>
      <c r="D32" s="8">
        <f>D2*0.08</f>
        <v>55711.360000000001</v>
      </c>
      <c r="E32" s="3">
        <v>976</v>
      </c>
      <c r="F32" s="3">
        <v>11.824</v>
      </c>
      <c r="G32" s="15"/>
      <c r="I32" s="20">
        <f t="shared" si="9"/>
        <v>111863316800000</v>
      </c>
      <c r="J32" s="20">
        <v>6371</v>
      </c>
      <c r="K32" s="21">
        <v>5.6699999999999998E-8</v>
      </c>
      <c r="L32" s="20">
        <f t="shared" si="3"/>
        <v>39002943581.306244</v>
      </c>
      <c r="M32" s="20">
        <f t="shared" si="10"/>
        <v>51449.638728499202</v>
      </c>
      <c r="N32" s="20">
        <f t="shared" si="11"/>
        <v>2.0066873566062429E+21</v>
      </c>
      <c r="O32" s="20">
        <f t="shared" si="5"/>
        <v>1.5724804272364926E+29</v>
      </c>
      <c r="P32" s="20">
        <f t="shared" si="6"/>
        <v>127516117.97744706</v>
      </c>
      <c r="Q32" s="20">
        <f t="shared" si="1"/>
        <v>1.6272697407022754</v>
      </c>
      <c r="R32" s="11"/>
    </row>
    <row r="33" spans="1:18" x14ac:dyDescent="0.25">
      <c r="A33" s="30"/>
      <c r="B33" s="5" t="s">
        <v>36</v>
      </c>
      <c r="D33" s="8">
        <v>76538</v>
      </c>
      <c r="E33" s="3">
        <v>541</v>
      </c>
      <c r="F33" s="3">
        <v>11.826000000000001</v>
      </c>
      <c r="G33" s="15"/>
      <c r="I33" s="20">
        <f t="shared" si="9"/>
        <v>111882238200000</v>
      </c>
      <c r="J33" s="20">
        <v>6371</v>
      </c>
      <c r="K33" s="21">
        <v>5.6699999999999998E-8</v>
      </c>
      <c r="L33" s="20">
        <f t="shared" si="3"/>
        <v>73614621452.474518</v>
      </c>
      <c r="M33" s="20">
        <f t="shared" si="10"/>
        <v>4857.0449120487001</v>
      </c>
      <c r="N33" s="20">
        <f t="shared" si="11"/>
        <v>3.5754952257813243E+20</v>
      </c>
      <c r="O33" s="20">
        <f t="shared" si="5"/>
        <v>1.5730124344820271E+29</v>
      </c>
      <c r="P33" s="20">
        <f t="shared" si="6"/>
        <v>127516117.97744706</v>
      </c>
      <c r="Q33" s="20">
        <f t="shared" si="1"/>
        <v>0.28984721356551962</v>
      </c>
      <c r="R33" s="11"/>
    </row>
    <row r="34" spans="1:18" x14ac:dyDescent="0.25">
      <c r="A34" s="30"/>
      <c r="B34" s="5" t="s">
        <v>37</v>
      </c>
      <c r="D34" s="8">
        <v>551690</v>
      </c>
      <c r="E34" s="3">
        <v>5503</v>
      </c>
      <c r="F34" s="3">
        <v>11.887</v>
      </c>
      <c r="G34" s="15"/>
      <c r="I34" s="20">
        <f t="shared" si="9"/>
        <v>112459340900000</v>
      </c>
      <c r="J34" s="20">
        <v>6371</v>
      </c>
      <c r="K34" s="21">
        <v>5.6699999999999998E-8</v>
      </c>
      <c r="L34" s="20">
        <f t="shared" si="3"/>
        <v>3824723884626.855</v>
      </c>
      <c r="M34" s="20">
        <f t="shared" si="10"/>
        <v>51997337.953134388</v>
      </c>
      <c r="N34" s="20">
        <f t="shared" si="11"/>
        <v>1.9887546040636756E+26</v>
      </c>
      <c r="O34" s="20">
        <f t="shared" si="5"/>
        <v>1.5892818796535944E+29</v>
      </c>
      <c r="P34" s="20">
        <f t="shared" si="6"/>
        <v>127516117.97744706</v>
      </c>
      <c r="Q34" s="20">
        <f t="shared" ref="Q34:Q65" si="18">IFERROR(N34*(P34/O34),"")</f>
        <v>159567.8337283062</v>
      </c>
      <c r="R34" s="11"/>
    </row>
    <row r="35" spans="1:18" x14ac:dyDescent="0.25">
      <c r="A35" s="30"/>
      <c r="B35" s="5" t="s">
        <v>76</v>
      </c>
      <c r="D35" s="8">
        <f>D2*0.0524</f>
        <v>36490.940800000004</v>
      </c>
      <c r="E35" s="3">
        <v>298</v>
      </c>
      <c r="F35" s="3">
        <v>12.068</v>
      </c>
      <c r="G35" s="15"/>
      <c r="I35" s="20">
        <f t="shared" ref="I35" si="19">F35*9460700000000</f>
        <v>114171727600000</v>
      </c>
      <c r="J35" s="20">
        <v>6371</v>
      </c>
      <c r="K35" s="21">
        <v>5.6699999999999998E-8</v>
      </c>
      <c r="L35" s="20">
        <f t="shared" si="3"/>
        <v>16733237869.969915</v>
      </c>
      <c r="M35" s="20">
        <f t="shared" ref="M35" si="20">K35*(E35^4)</f>
        <v>447.14472858720001</v>
      </c>
      <c r="N35" s="20">
        <f t="shared" ref="N35" si="21">M35*(L35*1000000)</f>
        <v>7.4821791057527552E+18</v>
      </c>
      <c r="O35" s="20">
        <f t="shared" si="5"/>
        <v>1.638049454190329E+29</v>
      </c>
      <c r="P35" s="20">
        <f t="shared" si="6"/>
        <v>127516117.97744706</v>
      </c>
      <c r="Q35" s="25">
        <f t="shared" si="18"/>
        <v>5.8246009065041253E-3</v>
      </c>
      <c r="R35" s="11"/>
    </row>
    <row r="36" spans="1:18" x14ac:dyDescent="0.25">
      <c r="A36" s="30"/>
      <c r="B36" s="5" t="s">
        <v>38</v>
      </c>
      <c r="D36" s="8">
        <v>35315.279999999999</v>
      </c>
      <c r="E36" s="3">
        <v>2942</v>
      </c>
      <c r="F36" s="3">
        <v>12.132</v>
      </c>
      <c r="G36" s="15"/>
      <c r="I36" s="20">
        <f t="shared" si="9"/>
        <v>114777212400000</v>
      </c>
      <c r="J36" s="20">
        <v>6371</v>
      </c>
      <c r="K36" s="21">
        <v>5.6699999999999998E-8</v>
      </c>
      <c r="L36" s="20">
        <f t="shared" si="3"/>
        <v>15672387891.317837</v>
      </c>
      <c r="M36" s="20">
        <f t="shared" si="10"/>
        <v>4247698.9826405235</v>
      </c>
      <c r="N36" s="20">
        <f t="shared" si="11"/>
        <v>6.6571586101498429E+22</v>
      </c>
      <c r="O36" s="20">
        <f t="shared" si="5"/>
        <v>1.6554695984162072E+29</v>
      </c>
      <c r="P36" s="20">
        <f t="shared" si="6"/>
        <v>127516117.97744706</v>
      </c>
      <c r="Q36" s="20">
        <f t="shared" si="18"/>
        <v>51.278200671192351</v>
      </c>
      <c r="R36" s="11"/>
    </row>
    <row r="37" spans="1:18" x14ac:dyDescent="0.25">
      <c r="A37" s="30"/>
      <c r="B37" s="5" t="s">
        <v>39</v>
      </c>
      <c r="D37" s="8">
        <v>243500</v>
      </c>
      <c r="E37" s="3">
        <v>3150</v>
      </c>
      <c r="F37" s="3">
        <v>12.366</v>
      </c>
      <c r="G37" s="15"/>
      <c r="I37" s="20">
        <f t="shared" si="9"/>
        <v>116991016200000</v>
      </c>
      <c r="J37" s="20">
        <v>6371</v>
      </c>
      <c r="K37" s="21">
        <v>5.6699999999999998E-8</v>
      </c>
      <c r="L37" s="20">
        <f t="shared" si="3"/>
        <v>745088388059.23767</v>
      </c>
      <c r="M37" s="20">
        <f t="shared" si="10"/>
        <v>5582455.5543749994</v>
      </c>
      <c r="N37" s="20">
        <f t="shared" si="11"/>
        <v>4.159422810421606E+24</v>
      </c>
      <c r="O37" s="20">
        <f t="shared" si="5"/>
        <v>1.7199463121426159E+29</v>
      </c>
      <c r="P37" s="20">
        <f t="shared" si="6"/>
        <v>127516117.97744706</v>
      </c>
      <c r="Q37" s="20">
        <f t="shared" si="18"/>
        <v>3083.7791044248966</v>
      </c>
      <c r="R37" s="11"/>
    </row>
    <row r="38" spans="1:18" x14ac:dyDescent="0.25">
      <c r="A38" s="30"/>
      <c r="B38" s="5" t="s">
        <v>40</v>
      </c>
      <c r="D38" s="8">
        <v>88354</v>
      </c>
      <c r="E38" s="3">
        <v>2637</v>
      </c>
      <c r="F38" s="3">
        <v>12.513999999999999</v>
      </c>
      <c r="G38" s="15"/>
      <c r="I38" s="20">
        <f t="shared" si="9"/>
        <v>118391199800000</v>
      </c>
      <c r="J38" s="20">
        <v>6371</v>
      </c>
      <c r="K38" s="21">
        <v>5.6699999999999998E-8</v>
      </c>
      <c r="L38" s="20">
        <f t="shared" si="3"/>
        <v>98098483959.654373</v>
      </c>
      <c r="M38" s="20">
        <f t="shared" si="10"/>
        <v>2741723.0174139687</v>
      </c>
      <c r="N38" s="20">
        <f t="shared" si="11"/>
        <v>2.6895887144559938E+23</v>
      </c>
      <c r="O38" s="20">
        <f t="shared" si="5"/>
        <v>1.7613623451193054E+29</v>
      </c>
      <c r="P38" s="20">
        <f t="shared" si="6"/>
        <v>127516117.97744706</v>
      </c>
      <c r="Q38" s="20">
        <f t="shared" si="18"/>
        <v>194.71627332884194</v>
      </c>
      <c r="R38" s="11"/>
    </row>
    <row r="39" spans="1:18" x14ac:dyDescent="0.25">
      <c r="A39" s="30"/>
      <c r="B39" s="5" t="s">
        <v>83</v>
      </c>
      <c r="D39" s="8">
        <f>D2*0.096</f>
        <v>66853.631999999998</v>
      </c>
      <c r="E39" s="3">
        <v>2600</v>
      </c>
      <c r="F39" s="3">
        <v>12.571</v>
      </c>
      <c r="G39" s="15"/>
      <c r="I39" s="20">
        <f t="shared" ref="I39" si="22">F39*9460700000000</f>
        <v>118930459700000</v>
      </c>
      <c r="J39" s="20">
        <v>6371</v>
      </c>
      <c r="K39" s="21">
        <v>5.6699999999999998E-8</v>
      </c>
      <c r="L39" s="20">
        <f t="shared" si="3"/>
        <v>56164238757.080994</v>
      </c>
      <c r="M39" s="20">
        <f t="shared" ref="M39" si="23">K39*(E39^4)</f>
        <v>2591053.92</v>
      </c>
      <c r="N39" s="20">
        <f t="shared" ref="N39" si="24">M39*(L39*1000000)</f>
        <v>1.4552457099535063E+23</v>
      </c>
      <c r="O39" s="20">
        <f t="shared" si="5"/>
        <v>1.7774445417364612E+29</v>
      </c>
      <c r="P39" s="20">
        <f t="shared" si="6"/>
        <v>127516117.97744706</v>
      </c>
      <c r="Q39" s="20">
        <f t="shared" si="18"/>
        <v>104.40116655078107</v>
      </c>
      <c r="R39" s="11"/>
    </row>
    <row r="40" spans="1:18" x14ac:dyDescent="0.25">
      <c r="A40" s="30"/>
      <c r="B40" s="5" t="s">
        <v>84</v>
      </c>
      <c r="D40" s="8">
        <f>D2*0.1311</f>
        <v>91296.991199999989</v>
      </c>
      <c r="E40" s="3">
        <v>741</v>
      </c>
      <c r="F40" s="3">
        <v>12.571</v>
      </c>
      <c r="G40" s="15"/>
      <c r="I40" s="20">
        <f t="shared" si="9"/>
        <v>118930459700000</v>
      </c>
      <c r="J40" s="20">
        <v>6371</v>
      </c>
      <c r="K40" s="21">
        <v>5.6699999999999998E-8</v>
      </c>
      <c r="L40" s="20">
        <f t="shared" si="3"/>
        <v>104742465929.69724</v>
      </c>
      <c r="M40" s="20">
        <f t="shared" si="10"/>
        <v>17094.479856608701</v>
      </c>
      <c r="N40" s="20">
        <f t="shared" si="11"/>
        <v>1.7905179739667324E+21</v>
      </c>
      <c r="O40" s="20">
        <f t="shared" si="5"/>
        <v>1.7774445417364612E+29</v>
      </c>
      <c r="P40" s="20">
        <f t="shared" si="6"/>
        <v>127516117.97744706</v>
      </c>
      <c r="Q40" s="20">
        <f t="shared" si="18"/>
        <v>1.2845402252946014</v>
      </c>
      <c r="R40" s="11"/>
    </row>
    <row r="41" spans="1:18" x14ac:dyDescent="0.25">
      <c r="A41" s="30"/>
      <c r="B41" s="5" t="s">
        <v>41</v>
      </c>
      <c r="D41" s="8">
        <v>202400</v>
      </c>
      <c r="E41" s="3">
        <v>3550</v>
      </c>
      <c r="F41" s="3">
        <v>12.776999999999999</v>
      </c>
      <c r="G41" s="15"/>
      <c r="I41" s="20">
        <f t="shared" ref="I41:I73" si="25">F41*9460700000000</f>
        <v>120879363900000</v>
      </c>
      <c r="J41" s="20">
        <v>6371</v>
      </c>
      <c r="K41" s="21">
        <v>5.6699999999999998E-8</v>
      </c>
      <c r="L41" s="20">
        <f t="shared" si="3"/>
        <v>514790922658.89044</v>
      </c>
      <c r="M41" s="20">
        <f t="shared" ref="M41:M73" si="26">K41*(E41^4)</f>
        <v>9005264.4543749988</v>
      </c>
      <c r="N41" s="20">
        <f t="shared" ref="N41:N73" si="27">M41*(L41*1000000)</f>
        <v>4.6358283972550151E+24</v>
      </c>
      <c r="O41" s="20">
        <f t="shared" si="5"/>
        <v>1.8361755322210537E+29</v>
      </c>
      <c r="P41" s="20">
        <f t="shared" si="6"/>
        <v>127516117.97744706</v>
      </c>
      <c r="Q41" s="20">
        <f t="shared" si="18"/>
        <v>3219.424452914468</v>
      </c>
      <c r="R41" s="11"/>
    </row>
    <row r="42" spans="1:18" x14ac:dyDescent="0.25">
      <c r="A42" s="30"/>
      <c r="B42" s="5" t="s">
        <v>42</v>
      </c>
      <c r="D42" s="8">
        <v>224792.25</v>
      </c>
      <c r="E42" s="3">
        <v>4176</v>
      </c>
      <c r="F42" s="3">
        <v>12.87</v>
      </c>
      <c r="G42" s="15"/>
      <c r="I42" s="20">
        <f t="shared" si="25"/>
        <v>121759209000000</v>
      </c>
      <c r="J42" s="20">
        <v>6371</v>
      </c>
      <c r="K42" s="21">
        <v>5.6699999999999998E-8</v>
      </c>
      <c r="L42" s="20">
        <f t="shared" si="3"/>
        <v>634998256144.46436</v>
      </c>
      <c r="M42" s="20">
        <f t="shared" si="26"/>
        <v>17243484.018750258</v>
      </c>
      <c r="N42" s="20">
        <f t="shared" si="27"/>
        <v>1.0949582281761354E+25</v>
      </c>
      <c r="O42" s="20">
        <f t="shared" si="5"/>
        <v>1.8630027680316051E+29</v>
      </c>
      <c r="P42" s="20">
        <f t="shared" si="6"/>
        <v>127516117.97744706</v>
      </c>
      <c r="Q42" s="20">
        <f t="shared" si="18"/>
        <v>7494.6116559992033</v>
      </c>
      <c r="R42" s="11"/>
    </row>
    <row r="43" spans="1:18" x14ac:dyDescent="0.25">
      <c r="A43" s="30"/>
      <c r="B43" s="5" t="s">
        <v>68</v>
      </c>
      <c r="D43" s="8">
        <v>74522.210000000006</v>
      </c>
      <c r="E43" s="3">
        <v>3754</v>
      </c>
      <c r="F43" s="3">
        <v>13.148999999999999</v>
      </c>
      <c r="G43" s="15"/>
      <c r="I43" s="20">
        <f t="shared" si="25"/>
        <v>124398744299999.98</v>
      </c>
      <c r="J43" s="20">
        <v>6371</v>
      </c>
      <c r="K43" s="21">
        <v>5.6699999999999998E-8</v>
      </c>
      <c r="L43" s="20">
        <f t="shared" si="3"/>
        <v>69788090465.748215</v>
      </c>
      <c r="M43" s="20">
        <f t="shared" si="26"/>
        <v>11260563.708821515</v>
      </c>
      <c r="N43" s="20">
        <f t="shared" si="27"/>
        <v>7.8585323880655712E+23</v>
      </c>
      <c r="O43" s="20">
        <f t="shared" si="5"/>
        <v>1.9446518320805852E+29</v>
      </c>
      <c r="P43" s="20">
        <f t="shared" si="6"/>
        <v>127516117.97744706</v>
      </c>
      <c r="Q43" s="20">
        <f t="shared" si="18"/>
        <v>515.30537579779582</v>
      </c>
      <c r="R43" s="11"/>
    </row>
    <row r="44" spans="1:18" x14ac:dyDescent="0.25">
      <c r="A44" s="30"/>
      <c r="B44" s="5" t="s">
        <v>77</v>
      </c>
      <c r="D44" s="8">
        <f>D2*0.192</f>
        <v>133707.264</v>
      </c>
      <c r="E44" s="3">
        <v>1119</v>
      </c>
      <c r="F44" s="3">
        <v>13.349</v>
      </c>
      <c r="G44" s="15"/>
      <c r="I44" s="20">
        <f t="shared" si="25"/>
        <v>126290884300000</v>
      </c>
      <c r="J44" s="20">
        <v>6371</v>
      </c>
      <c r="K44" s="21">
        <v>5.6699999999999998E-8</v>
      </c>
      <c r="L44" s="20">
        <f t="shared" si="3"/>
        <v>224656955028.32397</v>
      </c>
      <c r="M44" s="20">
        <f t="shared" si="26"/>
        <v>88900.336534520698</v>
      </c>
      <c r="N44" s="20">
        <f t="shared" si="27"/>
        <v>1.9972078906838681E+22</v>
      </c>
      <c r="O44" s="20">
        <f t="shared" si="5"/>
        <v>2.0042591386014171E+29</v>
      </c>
      <c r="P44" s="20">
        <f t="shared" si="6"/>
        <v>127516117.97744706</v>
      </c>
      <c r="Q44" s="20">
        <f t="shared" si="18"/>
        <v>12.706749946099622</v>
      </c>
      <c r="R44" s="11"/>
    </row>
    <row r="45" spans="1:18" x14ac:dyDescent="0.25">
      <c r="A45" s="30"/>
      <c r="B45" s="5" t="s">
        <v>78</v>
      </c>
      <c r="D45" s="8">
        <f>D2*0.1514</f>
        <v>105433.7488</v>
      </c>
      <c r="E45" s="3">
        <v>861</v>
      </c>
      <c r="F45" s="3">
        <v>13.349</v>
      </c>
      <c r="G45" s="15"/>
      <c r="I45" s="20">
        <f t="shared" si="25"/>
        <v>126290884300000</v>
      </c>
      <c r="J45" s="20">
        <v>6371</v>
      </c>
      <c r="K45" s="21">
        <v>5.6699999999999998E-8</v>
      </c>
      <c r="L45" s="20">
        <f t="shared" si="3"/>
        <v>139691236352.02475</v>
      </c>
      <c r="M45" s="20">
        <f t="shared" si="26"/>
        <v>31159.8719798247</v>
      </c>
      <c r="N45" s="20">
        <f t="shared" si="27"/>
        <v>4.3527610414325254E+21</v>
      </c>
      <c r="O45" s="20">
        <f t="shared" si="5"/>
        <v>2.0042591386014171E+29</v>
      </c>
      <c r="P45" s="20">
        <f t="shared" si="6"/>
        <v>127516117.97744706</v>
      </c>
      <c r="Q45" s="20">
        <f t="shared" si="18"/>
        <v>2.7693384542792212</v>
      </c>
      <c r="R45" s="11"/>
    </row>
    <row r="46" spans="1:18" x14ac:dyDescent="0.25">
      <c r="A46" s="30"/>
      <c r="B46" s="5" t="s">
        <v>43</v>
      </c>
      <c r="D46" s="8">
        <f>D2*0.4099</f>
        <v>285451.0808</v>
      </c>
      <c r="E46" s="3">
        <v>2429</v>
      </c>
      <c r="F46" s="3">
        <v>13.349</v>
      </c>
      <c r="G46" s="15"/>
      <c r="I46" s="20">
        <f t="shared" si="25"/>
        <v>126290884300000</v>
      </c>
      <c r="J46" s="20">
        <v>6371</v>
      </c>
      <c r="K46" s="21">
        <v>5.6699999999999998E-8</v>
      </c>
      <c r="L46" s="20">
        <f t="shared" si="3"/>
        <v>1023937025730.2106</v>
      </c>
      <c r="M46" s="20">
        <f t="shared" si="26"/>
        <v>1973754.4315553126</v>
      </c>
      <c r="N46" s="20">
        <f t="shared" si="27"/>
        <v>2.0210002421685693E+24</v>
      </c>
      <c r="O46" s="20">
        <f t="shared" si="5"/>
        <v>2.0042591386014171E+29</v>
      </c>
      <c r="P46" s="20">
        <f t="shared" si="6"/>
        <v>127516117.97744706</v>
      </c>
      <c r="Q46" s="20">
        <f t="shared" si="18"/>
        <v>1285.8123001631807</v>
      </c>
      <c r="R46" s="11"/>
    </row>
    <row r="47" spans="1:18" x14ac:dyDescent="0.25">
      <c r="A47" s="30"/>
      <c r="B47" s="5" t="s">
        <v>44</v>
      </c>
      <c r="D47" s="8">
        <f>D2*0.379</f>
        <v>263932.56800000003</v>
      </c>
      <c r="E47" s="3">
        <v>2153</v>
      </c>
      <c r="F47" s="3">
        <v>13.349</v>
      </c>
      <c r="G47" s="15"/>
      <c r="I47" s="20">
        <f t="shared" si="25"/>
        <v>126290884300000</v>
      </c>
      <c r="J47" s="20">
        <v>6371</v>
      </c>
      <c r="K47" s="21">
        <v>5.6699999999999998E-8</v>
      </c>
      <c r="L47" s="20">
        <f t="shared" si="3"/>
        <v>875378409212.87683</v>
      </c>
      <c r="M47" s="20">
        <f t="shared" si="26"/>
        <v>1218313.8410658326</v>
      </c>
      <c r="N47" s="20">
        <f t="shared" si="27"/>
        <v>1.0664856321142382E+24</v>
      </c>
      <c r="O47" s="20">
        <f t="shared" si="5"/>
        <v>2.0042591386014171E+29</v>
      </c>
      <c r="P47" s="20">
        <f t="shared" si="6"/>
        <v>127516117.97744706</v>
      </c>
      <c r="Q47" s="20">
        <f t="shared" si="18"/>
        <v>678.52557120347626</v>
      </c>
      <c r="R47" s="11"/>
    </row>
    <row r="48" spans="1:18" x14ac:dyDescent="0.25">
      <c r="A48" s="30"/>
      <c r="B48" s="5" t="s">
        <v>45</v>
      </c>
      <c r="D48" s="8">
        <v>213580</v>
      </c>
      <c r="E48" s="3">
        <v>3342</v>
      </c>
      <c r="F48" s="3">
        <v>13.82</v>
      </c>
      <c r="G48" s="15"/>
      <c r="I48" s="20">
        <f t="shared" si="25"/>
        <v>130746874000000</v>
      </c>
      <c r="J48" s="20">
        <v>6371</v>
      </c>
      <c r="K48" s="21">
        <v>5.6699999999999998E-8</v>
      </c>
      <c r="L48" s="20">
        <f t="shared" si="3"/>
        <v>573232794581.33179</v>
      </c>
      <c r="M48" s="20">
        <f t="shared" si="26"/>
        <v>7073084.4124478828</v>
      </c>
      <c r="N48" s="20">
        <f t="shared" si="27"/>
        <v>4.0545239440571572E+24</v>
      </c>
      <c r="O48" s="20">
        <f t="shared" si="5"/>
        <v>2.1481890199164532E+29</v>
      </c>
      <c r="P48" s="20">
        <f t="shared" si="6"/>
        <v>127516117.97744706</v>
      </c>
      <c r="Q48" s="20">
        <f t="shared" si="18"/>
        <v>2406.7581986471755</v>
      </c>
      <c r="R48" s="11"/>
    </row>
    <row r="49" spans="1:18" x14ac:dyDescent="0.25">
      <c r="A49" s="30"/>
      <c r="B49" s="5" t="s">
        <v>46</v>
      </c>
      <c r="D49" s="8">
        <v>7653</v>
      </c>
      <c r="E49" s="3">
        <v>6220</v>
      </c>
      <c r="F49" s="3">
        <v>14.066000000000001</v>
      </c>
      <c r="G49" s="15"/>
      <c r="I49" s="20">
        <f t="shared" si="25"/>
        <v>133074206200000</v>
      </c>
      <c r="J49" s="20">
        <v>6371</v>
      </c>
      <c r="K49" s="21">
        <v>5.6699999999999998E-8</v>
      </c>
      <c r="L49" s="20">
        <f t="shared" si="3"/>
        <v>735992333.78736925</v>
      </c>
      <c r="M49" s="20">
        <f t="shared" si="26"/>
        <v>84868123.101551995</v>
      </c>
      <c r="N49" s="20">
        <f t="shared" si="27"/>
        <v>6.2462287985665001E+22</v>
      </c>
      <c r="O49" s="20">
        <f t="shared" si="5"/>
        <v>2.2253464468942283E+29</v>
      </c>
      <c r="P49" s="20">
        <f t="shared" si="6"/>
        <v>127516117.97744706</v>
      </c>
      <c r="Q49" s="20">
        <f t="shared" si="18"/>
        <v>35.79194823816082</v>
      </c>
      <c r="R49" s="11"/>
    </row>
    <row r="50" spans="1:18" x14ac:dyDescent="0.25">
      <c r="A50" s="30"/>
      <c r="B50" s="5" t="s">
        <v>47</v>
      </c>
      <c r="D50" s="8">
        <v>326979</v>
      </c>
      <c r="E50" s="3">
        <v>3567</v>
      </c>
      <c r="F50" s="3">
        <v>14.231</v>
      </c>
      <c r="G50" s="15"/>
      <c r="I50" s="20">
        <f t="shared" si="25"/>
        <v>134635221700000</v>
      </c>
      <c r="J50" s="20">
        <v>6371</v>
      </c>
      <c r="K50" s="21">
        <v>5.6699999999999998E-8</v>
      </c>
      <c r="L50" s="20">
        <f t="shared" si="3"/>
        <v>1343536862430.5637</v>
      </c>
      <c r="M50" s="20">
        <f t="shared" si="26"/>
        <v>9179002.6712879613</v>
      </c>
      <c r="N50" s="20">
        <f t="shared" si="27"/>
        <v>1.2332328449223992E+25</v>
      </c>
      <c r="O50" s="20">
        <f t="shared" si="5"/>
        <v>2.2778611295461818E+29</v>
      </c>
      <c r="P50" s="20">
        <f t="shared" si="6"/>
        <v>127516117.97744706</v>
      </c>
      <c r="Q50" s="20">
        <f t="shared" si="18"/>
        <v>6903.7160741277348</v>
      </c>
      <c r="R50" s="11"/>
    </row>
    <row r="51" spans="1:18" x14ac:dyDescent="0.25">
      <c r="A51" s="30"/>
      <c r="B51" s="5" t="s">
        <v>48</v>
      </c>
      <c r="D51" s="8">
        <f>D2*0.4044</f>
        <v>281620.92479999998</v>
      </c>
      <c r="E51" s="3">
        <v>2256</v>
      </c>
      <c r="F51" s="3">
        <v>14.311999999999999</v>
      </c>
      <c r="G51" s="15"/>
      <c r="I51" s="20">
        <f t="shared" si="25"/>
        <v>135401538400000</v>
      </c>
      <c r="J51" s="20">
        <v>6371</v>
      </c>
      <c r="K51" s="21">
        <v>5.6699999999999998E-8</v>
      </c>
      <c r="L51" s="20">
        <f t="shared" si="3"/>
        <v>996643192406.70789</v>
      </c>
      <c r="M51" s="20">
        <f t="shared" si="26"/>
        <v>1468721.4586232831</v>
      </c>
      <c r="N51" s="20">
        <f t="shared" si="27"/>
        <v>1.4637912432785452E+24</v>
      </c>
      <c r="O51" s="20">
        <f t="shared" si="5"/>
        <v>2.3038651825599851E+29</v>
      </c>
      <c r="P51" s="20">
        <f t="shared" si="6"/>
        <v>127516117.97744706</v>
      </c>
      <c r="Q51" s="20">
        <f t="shared" si="18"/>
        <v>810.19053669127163</v>
      </c>
      <c r="R51" s="11"/>
    </row>
    <row r="52" spans="1:18" x14ac:dyDescent="0.25">
      <c r="A52" s="30"/>
      <c r="B52" s="5" t="s">
        <v>49</v>
      </c>
      <c r="D52" s="8">
        <f>D2*0.4916</f>
        <v>342346.30719999998</v>
      </c>
      <c r="E52" s="3">
        <v>2828</v>
      </c>
      <c r="F52" s="3">
        <v>14.311999999999999</v>
      </c>
      <c r="G52" s="15"/>
      <c r="I52" s="20">
        <f t="shared" si="25"/>
        <v>135401538400000</v>
      </c>
      <c r="J52" s="20">
        <v>6371</v>
      </c>
      <c r="K52" s="21">
        <v>5.6699999999999998E-8</v>
      </c>
      <c r="L52" s="20">
        <f t="shared" si="3"/>
        <v>1472791127647.2944</v>
      </c>
      <c r="M52" s="20">
        <f t="shared" si="26"/>
        <v>3626608.5357610751</v>
      </c>
      <c r="N52" s="20">
        <f t="shared" si="27"/>
        <v>5.3412368749188576E+24</v>
      </c>
      <c r="O52" s="20">
        <f t="shared" si="5"/>
        <v>2.3038651825599851E+29</v>
      </c>
      <c r="P52" s="20">
        <f t="shared" si="6"/>
        <v>127516117.97744706</v>
      </c>
      <c r="Q52" s="20">
        <f t="shared" si="18"/>
        <v>2956.3092347740285</v>
      </c>
      <c r="R52" s="11"/>
    </row>
    <row r="53" spans="1:18" x14ac:dyDescent="0.25">
      <c r="A53" s="30"/>
      <c r="B53" s="5" t="s">
        <v>50</v>
      </c>
      <c r="D53" s="8">
        <v>83484</v>
      </c>
      <c r="E53" s="3">
        <v>2621</v>
      </c>
      <c r="F53" s="3">
        <v>14.4</v>
      </c>
      <c r="G53" s="15"/>
      <c r="I53" s="20">
        <f t="shared" si="25"/>
        <v>136234080000000</v>
      </c>
      <c r="J53" s="20">
        <v>6371</v>
      </c>
      <c r="K53" s="21">
        <v>5.6699999999999998E-8</v>
      </c>
      <c r="L53" s="20">
        <f t="shared" si="3"/>
        <v>87582303390.675049</v>
      </c>
      <c r="M53" s="20">
        <f t="shared" si="26"/>
        <v>2675784.5554855526</v>
      </c>
      <c r="N53" s="20">
        <f t="shared" si="27"/>
        <v>2.3435137474661825E+23</v>
      </c>
      <c r="O53" s="20">
        <f t="shared" si="5"/>
        <v>2.3322837723902925E+29</v>
      </c>
      <c r="P53" s="20">
        <f t="shared" si="6"/>
        <v>127516117.97744706</v>
      </c>
      <c r="Q53" s="20">
        <f t="shared" si="18"/>
        <v>128.13010965530938</v>
      </c>
      <c r="R53" s="11"/>
    </row>
    <row r="54" spans="1:18" x14ac:dyDescent="0.25">
      <c r="A54" s="30"/>
      <c r="B54" s="5" t="s">
        <v>51</v>
      </c>
      <c r="D54" s="8">
        <v>160011</v>
      </c>
      <c r="E54" s="3">
        <v>2950</v>
      </c>
      <c r="F54" s="3">
        <v>14.509</v>
      </c>
      <c r="G54" s="15"/>
      <c r="I54" s="20">
        <f t="shared" si="25"/>
        <v>137265296300000</v>
      </c>
      <c r="J54" s="20">
        <v>6371</v>
      </c>
      <c r="K54" s="21">
        <v>5.6699999999999998E-8</v>
      </c>
      <c r="L54" s="20">
        <f t="shared" si="3"/>
        <v>321743322872.68823</v>
      </c>
      <c r="M54" s="20">
        <f t="shared" si="26"/>
        <v>4294089.8043750003</v>
      </c>
      <c r="N54" s="20">
        <f t="shared" si="27"/>
        <v>1.3815947223733445E+24</v>
      </c>
      <c r="O54" s="20">
        <f t="shared" si="5"/>
        <v>2.3677255889498382E+29</v>
      </c>
      <c r="P54" s="20">
        <f t="shared" si="6"/>
        <v>127516117.97744706</v>
      </c>
      <c r="Q54" s="20">
        <f t="shared" si="18"/>
        <v>744.07100399382477</v>
      </c>
      <c r="R54" s="11"/>
    </row>
    <row r="55" spans="1:18" x14ac:dyDescent="0.25">
      <c r="A55" s="30"/>
      <c r="B55" s="5" t="s">
        <v>52</v>
      </c>
      <c r="D55" s="8">
        <f>D2*0.492</f>
        <v>342624.864</v>
      </c>
      <c r="E55" s="3">
        <v>3095</v>
      </c>
      <c r="F55" s="3">
        <v>14.792999999999999</v>
      </c>
      <c r="G55" s="15"/>
      <c r="I55" s="20">
        <f t="shared" si="25"/>
        <v>139952135100000</v>
      </c>
      <c r="J55" s="20">
        <v>6371</v>
      </c>
      <c r="K55" s="21">
        <v>5.6699999999999998E-8</v>
      </c>
      <c r="L55" s="20">
        <f t="shared" si="3"/>
        <v>1475188833603.9553</v>
      </c>
      <c r="M55" s="20">
        <f t="shared" si="26"/>
        <v>5202662.7212004373</v>
      </c>
      <c r="N55" s="20">
        <f t="shared" si="27"/>
        <v>7.6749099513224521E+24</v>
      </c>
      <c r="O55" s="20">
        <f t="shared" si="5"/>
        <v>2.4613247617121683E+29</v>
      </c>
      <c r="P55" s="20">
        <f t="shared" si="6"/>
        <v>127516117.97744706</v>
      </c>
      <c r="Q55" s="20">
        <f t="shared" si="18"/>
        <v>3976.2112584375986</v>
      </c>
      <c r="R55" s="11"/>
    </row>
    <row r="56" spans="1:18" x14ac:dyDescent="0.25">
      <c r="A56" s="30"/>
      <c r="B56" s="5" t="s">
        <v>53</v>
      </c>
      <c r="D56" s="8">
        <f>D2*0.11</f>
        <v>76603.12</v>
      </c>
      <c r="E56" s="3">
        <v>2650</v>
      </c>
      <c r="F56" s="3">
        <v>14.805</v>
      </c>
      <c r="G56" s="15"/>
      <c r="I56" s="20">
        <f t="shared" si="25"/>
        <v>140065663500000</v>
      </c>
      <c r="J56" s="20">
        <v>6371</v>
      </c>
      <c r="K56" s="21">
        <v>5.6699999999999998E-8</v>
      </c>
      <c r="L56" s="20">
        <f t="shared" si="3"/>
        <v>73739940208.407104</v>
      </c>
      <c r="M56" s="20">
        <f t="shared" si="26"/>
        <v>2796189.2043749997</v>
      </c>
      <c r="N56" s="20">
        <f t="shared" si="27"/>
        <v>2.061908247420059E+23</v>
      </c>
      <c r="O56" s="20">
        <f t="shared" si="5"/>
        <v>2.4653196074931413E+29</v>
      </c>
      <c r="P56" s="20">
        <f t="shared" si="6"/>
        <v>127516117.97744706</v>
      </c>
      <c r="Q56" s="20">
        <f t="shared" si="18"/>
        <v>106.65008079988624</v>
      </c>
      <c r="R56" s="11"/>
    </row>
    <row r="57" spans="1:18" x14ac:dyDescent="0.25">
      <c r="A57" s="30"/>
      <c r="B57" s="5" t="s">
        <v>54</v>
      </c>
      <c r="D57" s="8">
        <f>D2*0.41</f>
        <v>285520.71999999997</v>
      </c>
      <c r="E57" s="3">
        <v>3600</v>
      </c>
      <c r="F57" s="3">
        <v>14.808999999999999</v>
      </c>
      <c r="G57" s="15"/>
      <c r="I57" s="20">
        <f t="shared" si="25"/>
        <v>140103506300000</v>
      </c>
      <c r="J57" s="20">
        <v>6371</v>
      </c>
      <c r="K57" s="21">
        <v>5.6699999999999998E-8</v>
      </c>
      <c r="L57" s="20">
        <f t="shared" si="3"/>
        <v>1024436690002.7467</v>
      </c>
      <c r="M57" s="20">
        <f t="shared" si="26"/>
        <v>9523422.7199999988</v>
      </c>
      <c r="N57" s="20">
        <f t="shared" si="27"/>
        <v>9.7561436487737547E+24</v>
      </c>
      <c r="O57" s="20">
        <f t="shared" si="5"/>
        <v>2.466651942594136E+29</v>
      </c>
      <c r="P57" s="20">
        <f t="shared" si="6"/>
        <v>127516117.97744706</v>
      </c>
      <c r="Q57" s="20">
        <f t="shared" si="18"/>
        <v>5043.5391513469558</v>
      </c>
      <c r="R57" s="11"/>
    </row>
    <row r="58" spans="1:18" x14ac:dyDescent="0.25">
      <c r="A58" s="30"/>
      <c r="B58" s="5" t="s">
        <v>81</v>
      </c>
      <c r="D58" s="8">
        <v>121747.5</v>
      </c>
      <c r="E58" s="3">
        <v>2700</v>
      </c>
      <c r="F58" s="3">
        <v>14.811999999999999</v>
      </c>
      <c r="G58" s="15"/>
      <c r="I58" s="20">
        <f t="shared" si="25"/>
        <v>140131888400000</v>
      </c>
      <c r="J58" s="20">
        <v>6371</v>
      </c>
      <c r="K58" s="21">
        <v>5.6699999999999998E-8</v>
      </c>
      <c r="L58" s="20">
        <f t="shared" si="3"/>
        <v>186264447315.23773</v>
      </c>
      <c r="M58" s="20">
        <f t="shared" si="26"/>
        <v>3013270.4699999997</v>
      </c>
      <c r="N58" s="20">
        <f t="shared" si="27"/>
        <v>5.6126515870587657E+23</v>
      </c>
      <c r="O58" s="20">
        <f t="shared" si="5"/>
        <v>2.4676514301176018E+29</v>
      </c>
      <c r="P58" s="20">
        <f t="shared" si="6"/>
        <v>127516117.97744706</v>
      </c>
      <c r="Q58" s="20">
        <f t="shared" si="18"/>
        <v>290.03429463600639</v>
      </c>
      <c r="R58" s="11"/>
    </row>
    <row r="59" spans="1:18" x14ac:dyDescent="0.25">
      <c r="A59" s="30"/>
      <c r="B59" s="5" t="s">
        <v>82</v>
      </c>
      <c r="D59" s="8">
        <v>121747.5</v>
      </c>
      <c r="E59" s="3">
        <v>2600</v>
      </c>
      <c r="F59" s="3">
        <v>14.811999999999999</v>
      </c>
      <c r="G59" s="15"/>
      <c r="I59" s="20">
        <f t="shared" ref="I59" si="28">F59*9460700000000</f>
        <v>140131888400000</v>
      </c>
      <c r="J59" s="20">
        <v>6371</v>
      </c>
      <c r="K59" s="21">
        <v>5.6699999999999998E-8</v>
      </c>
      <c r="L59" s="20">
        <f t="shared" si="3"/>
        <v>186264447315.23773</v>
      </c>
      <c r="M59" s="20">
        <f t="shared" ref="M59" si="29">K59*(E59^4)</f>
        <v>2591053.92</v>
      </c>
      <c r="N59" s="20">
        <f t="shared" ref="N59" si="30">M59*(L59*1000000)</f>
        <v>4.8262122637278018E+23</v>
      </c>
      <c r="O59" s="20">
        <f t="shared" si="5"/>
        <v>2.4676514301176018E+29</v>
      </c>
      <c r="P59" s="20">
        <f t="shared" si="6"/>
        <v>127516117.97744706</v>
      </c>
      <c r="Q59" s="20">
        <f t="shared" si="18"/>
        <v>249.39496919805521</v>
      </c>
      <c r="R59" s="11"/>
    </row>
    <row r="60" spans="1:18" x14ac:dyDescent="0.25">
      <c r="A60" s="30"/>
      <c r="B60" s="5" t="s">
        <v>55</v>
      </c>
      <c r="D60" s="8">
        <f>D2*0.15</f>
        <v>104458.8</v>
      </c>
      <c r="E60" s="3">
        <v>2600</v>
      </c>
      <c r="F60" s="3">
        <v>14.811999999999999</v>
      </c>
      <c r="G60" s="15"/>
      <c r="I60" s="20">
        <f t="shared" si="25"/>
        <v>140131888400000</v>
      </c>
      <c r="J60" s="20">
        <v>6371</v>
      </c>
      <c r="K60" s="21">
        <v>5.6699999999999998E-8</v>
      </c>
      <c r="L60" s="20">
        <f t="shared" si="3"/>
        <v>137119723528.02977</v>
      </c>
      <c r="M60" s="20">
        <f t="shared" si="26"/>
        <v>2591053.92</v>
      </c>
      <c r="N60" s="20">
        <f t="shared" si="27"/>
        <v>3.5528459715661777E+23</v>
      </c>
      <c r="O60" s="20">
        <f t="shared" si="5"/>
        <v>2.4676514301176018E+29</v>
      </c>
      <c r="P60" s="20">
        <f t="shared" si="6"/>
        <v>127516117.97744706</v>
      </c>
      <c r="Q60" s="20">
        <f t="shared" si="18"/>
        <v>183.59364719689736</v>
      </c>
      <c r="R60" s="11"/>
    </row>
    <row r="61" spans="1:18" x14ac:dyDescent="0.25">
      <c r="A61" s="30"/>
      <c r="B61" s="5" t="s">
        <v>56</v>
      </c>
      <c r="D61" s="8" t="s">
        <v>85</v>
      </c>
      <c r="E61" s="3">
        <v>8500</v>
      </c>
      <c r="F61" s="3">
        <v>15.06</v>
      </c>
      <c r="G61" s="15"/>
      <c r="I61" s="20">
        <f t="shared" si="25"/>
        <v>142478142000000</v>
      </c>
      <c r="J61" s="20">
        <v>6371</v>
      </c>
      <c r="K61" s="21">
        <v>5.6699999999999998E-8</v>
      </c>
      <c r="L61" s="20" t="e">
        <f t="shared" si="3"/>
        <v>#VALUE!</v>
      </c>
      <c r="M61" s="20">
        <f t="shared" si="26"/>
        <v>295977543.75</v>
      </c>
      <c r="N61" s="20" t="e">
        <f t="shared" si="27"/>
        <v>#VALUE!</v>
      </c>
      <c r="O61" s="20">
        <f t="shared" si="5"/>
        <v>2.5509758670895974E+29</v>
      </c>
      <c r="P61" s="20">
        <f t="shared" si="6"/>
        <v>127516117.97744706</v>
      </c>
      <c r="Q61" s="20" t="str">
        <f t="shared" si="18"/>
        <v/>
      </c>
      <c r="R61" s="11"/>
    </row>
    <row r="62" spans="1:18" x14ac:dyDescent="0.25">
      <c r="A62" s="30"/>
      <c r="B62" s="5" t="s">
        <v>57</v>
      </c>
      <c r="D62" s="8">
        <f>D2*0.175</f>
        <v>121868.59999999999</v>
      </c>
      <c r="E62" s="3">
        <v>2700</v>
      </c>
      <c r="F62" s="3">
        <v>15.313000000000001</v>
      </c>
      <c r="G62" s="15"/>
      <c r="I62" s="20">
        <f t="shared" si="25"/>
        <v>144871699100000</v>
      </c>
      <c r="J62" s="20">
        <v>6371</v>
      </c>
      <c r="K62" s="21">
        <v>5.6699999999999998E-8</v>
      </c>
      <c r="L62" s="20">
        <f t="shared" si="3"/>
        <v>186635179246.48492</v>
      </c>
      <c r="M62" s="20">
        <f t="shared" si="26"/>
        <v>3013270.4699999997</v>
      </c>
      <c r="N62" s="20">
        <f t="shared" si="27"/>
        <v>5.6238227428658983E+23</v>
      </c>
      <c r="O62" s="20">
        <f t="shared" si="5"/>
        <v>2.6374058879217691E+29</v>
      </c>
      <c r="P62" s="20">
        <f t="shared" si="6"/>
        <v>127516117.97744706</v>
      </c>
      <c r="Q62" s="20">
        <f t="shared" si="18"/>
        <v>271.90659111200455</v>
      </c>
      <c r="R62" s="11"/>
    </row>
    <row r="63" spans="1:18" x14ac:dyDescent="0.25">
      <c r="A63" s="30"/>
      <c r="B63" s="5" t="s">
        <v>58</v>
      </c>
      <c r="D63" s="8">
        <f>D2*0.3761</f>
        <v>261913.0312</v>
      </c>
      <c r="E63" s="3">
        <v>3129</v>
      </c>
      <c r="F63" s="3">
        <v>15.342000000000001</v>
      </c>
      <c r="G63" s="15"/>
      <c r="I63" s="20">
        <f t="shared" si="25"/>
        <v>145146059400000</v>
      </c>
      <c r="J63" s="20">
        <v>6371</v>
      </c>
      <c r="K63" s="21">
        <v>5.6699999999999998E-8</v>
      </c>
      <c r="L63" s="20">
        <f t="shared" si="3"/>
        <v>862033369240.23462</v>
      </c>
      <c r="M63" s="20">
        <f t="shared" si="26"/>
        <v>5435072.122522953</v>
      </c>
      <c r="N63" s="20">
        <f t="shared" si="27"/>
        <v>4.6852135338421344E+24</v>
      </c>
      <c r="O63" s="20">
        <f t="shared" si="5"/>
        <v>2.6474048684977534E+29</v>
      </c>
      <c r="P63" s="20">
        <f t="shared" si="6"/>
        <v>127516117.97744706</v>
      </c>
      <c r="Q63" s="20">
        <f t="shared" si="18"/>
        <v>2256.7014544698541</v>
      </c>
      <c r="R63" s="11"/>
    </row>
    <row r="64" spans="1:18" x14ac:dyDescent="0.25">
      <c r="A64" s="30"/>
      <c r="B64" s="5" t="s">
        <v>59</v>
      </c>
      <c r="D64" s="8">
        <f>D2*0.26</f>
        <v>181061.92</v>
      </c>
      <c r="E64" s="3">
        <v>3100</v>
      </c>
      <c r="F64" s="3">
        <v>15.61</v>
      </c>
      <c r="G64" s="15"/>
      <c r="I64" s="20">
        <f t="shared" si="25"/>
        <v>147681527000000</v>
      </c>
      <c r="J64" s="20">
        <v>6371</v>
      </c>
      <c r="K64" s="21">
        <v>5.6699999999999998E-8</v>
      </c>
      <c r="L64" s="20">
        <f t="shared" si="3"/>
        <v>411968591577.54724</v>
      </c>
      <c r="M64" s="20">
        <f t="shared" si="26"/>
        <v>5236364.0699999994</v>
      </c>
      <c r="N64" s="20">
        <f t="shared" si="27"/>
        <v>2.1572175309051729E+24</v>
      </c>
      <c r="O64" s="20">
        <f t="shared" si="5"/>
        <v>2.7407044975610756E+29</v>
      </c>
      <c r="P64" s="20">
        <f t="shared" si="6"/>
        <v>127516117.97744706</v>
      </c>
      <c r="Q64" s="20">
        <f t="shared" si="18"/>
        <v>1003.6835617218562</v>
      </c>
      <c r="R64" s="11"/>
    </row>
    <row r="65" spans="1:18" x14ac:dyDescent="0.25">
      <c r="A65" s="30"/>
      <c r="B65" s="5" t="s">
        <v>66</v>
      </c>
      <c r="D65" s="8">
        <f>D2*0.38</f>
        <v>264628.96000000002</v>
      </c>
      <c r="E65" s="3">
        <v>3687</v>
      </c>
      <c r="F65" s="3">
        <v>15.832000000000001</v>
      </c>
      <c r="G65" s="15"/>
      <c r="I65" s="20">
        <f t="shared" si="25"/>
        <v>149781802400000</v>
      </c>
      <c r="J65" s="20">
        <v>6371</v>
      </c>
      <c r="K65" s="21">
        <v>5.6699999999999998E-8</v>
      </c>
      <c r="L65" s="20">
        <f t="shared" si="3"/>
        <v>880003914553.22229</v>
      </c>
      <c r="M65" s="20">
        <f t="shared" si="26"/>
        <v>10477932.812906889</v>
      </c>
      <c r="N65" s="20">
        <f t="shared" si="27"/>
        <v>9.2206218917837176E+24</v>
      </c>
      <c r="O65" s="20">
        <f t="shared" si="5"/>
        <v>2.8192135153777806E+29</v>
      </c>
      <c r="P65" s="20">
        <f t="shared" si="6"/>
        <v>127516117.97744706</v>
      </c>
      <c r="Q65" s="20">
        <f t="shared" si="18"/>
        <v>4170.5883664528583</v>
      </c>
      <c r="R65" s="11"/>
    </row>
    <row r="66" spans="1:18" x14ac:dyDescent="0.25">
      <c r="A66" s="30"/>
      <c r="B66" s="5" t="s">
        <v>67</v>
      </c>
      <c r="D66" s="8">
        <f>D2*0.13</f>
        <v>90530.96</v>
      </c>
      <c r="E66" s="3">
        <v>2700</v>
      </c>
      <c r="F66" s="3">
        <v>15.832000000000001</v>
      </c>
      <c r="G66" s="15"/>
      <c r="I66" s="20">
        <f t="shared" si="25"/>
        <v>149781802400000</v>
      </c>
      <c r="J66" s="20">
        <v>6371</v>
      </c>
      <c r="K66" s="21">
        <v>5.6699999999999998E-8</v>
      </c>
      <c r="L66" s="20">
        <f t="shared" si="3"/>
        <v>102992147894.38681</v>
      </c>
      <c r="M66" s="20">
        <f t="shared" si="26"/>
        <v>3013270.4699999997</v>
      </c>
      <c r="N66" s="20">
        <f t="shared" si="27"/>
        <v>3.1034319789202844E+23</v>
      </c>
      <c r="O66" s="20">
        <f t="shared" si="5"/>
        <v>2.8192135153777806E+29</v>
      </c>
      <c r="P66" s="20">
        <f t="shared" si="6"/>
        <v>127516117.97744706</v>
      </c>
      <c r="Q66" s="20">
        <f t="shared" ref="Q66:Q97" si="31">IFERROR(N66*(P66/O66),"")</f>
        <v>140.37163066946752</v>
      </c>
      <c r="R66" s="11"/>
    </row>
    <row r="67" spans="1:18" x14ac:dyDescent="0.25">
      <c r="A67" s="30"/>
      <c r="B67" s="5" t="s">
        <v>60</v>
      </c>
      <c r="D67" s="8">
        <f>D2*0.605</f>
        <v>421317.16</v>
      </c>
      <c r="E67" s="3">
        <v>3970</v>
      </c>
      <c r="F67" s="3">
        <v>15.848000000000001</v>
      </c>
      <c r="G67" s="15"/>
      <c r="I67" s="20">
        <f t="shared" si="25"/>
        <v>149933173600000</v>
      </c>
      <c r="J67" s="20">
        <v>6371</v>
      </c>
      <c r="K67" s="21">
        <v>5.6699999999999998E-8</v>
      </c>
      <c r="L67" s="20">
        <f t="shared" ref="L67:L73" si="32">4*PI()*(D67^2)</f>
        <v>2230633191304.3149</v>
      </c>
      <c r="M67" s="20">
        <f t="shared" si="26"/>
        <v>14084618.431527</v>
      </c>
      <c r="N67" s="20">
        <f t="shared" si="27"/>
        <v>3.1417617360220644E+25</v>
      </c>
      <c r="O67" s="20">
        <f t="shared" ref="O67:O73" si="33">(4*PI())*(I67^2)</f>
        <v>2.824914653488068E+29</v>
      </c>
      <c r="P67" s="20">
        <f t="shared" ref="P67:P73" si="34">PI()*(J67^2)</f>
        <v>127516117.97744706</v>
      </c>
      <c r="Q67" s="20">
        <f t="shared" si="31"/>
        <v>14181.853589556973</v>
      </c>
      <c r="R67" s="11"/>
    </row>
    <row r="68" spans="1:18" x14ac:dyDescent="0.25">
      <c r="A68" s="30"/>
      <c r="B68" s="5" t="s">
        <v>61</v>
      </c>
      <c r="D68" s="8">
        <f>D2*0.39</f>
        <v>271592.88</v>
      </c>
      <c r="E68" s="3">
        <v>3390</v>
      </c>
      <c r="F68" s="3">
        <v>15.942</v>
      </c>
      <c r="G68" s="15"/>
      <c r="I68" s="20">
        <f t="shared" si="25"/>
        <v>150822479400000</v>
      </c>
      <c r="J68" s="20">
        <v>6371</v>
      </c>
      <c r="K68" s="21">
        <v>5.6699999999999998E-8</v>
      </c>
      <c r="L68" s="20">
        <f t="shared" si="32"/>
        <v>926929331049.4812</v>
      </c>
      <c r="M68" s="20">
        <f t="shared" si="26"/>
        <v>7488276.1486470001</v>
      </c>
      <c r="N68" s="20">
        <f t="shared" si="27"/>
        <v>6.9411028011791491E+24</v>
      </c>
      <c r="O68" s="20">
        <f t="shared" si="33"/>
        <v>2.8585251391443328E+29</v>
      </c>
      <c r="P68" s="20">
        <f t="shared" si="34"/>
        <v>127516117.97744706</v>
      </c>
      <c r="Q68" s="20">
        <f t="shared" si="31"/>
        <v>3096.360677638449</v>
      </c>
      <c r="R68" s="11"/>
    </row>
    <row r="69" spans="1:18" x14ac:dyDescent="0.25">
      <c r="A69" s="30"/>
      <c r="B69" s="5" t="s">
        <v>79</v>
      </c>
      <c r="D69" s="8">
        <f>D2*0.1</f>
        <v>69639.199999999997</v>
      </c>
      <c r="E69" s="3">
        <v>950</v>
      </c>
      <c r="F69" s="3">
        <v>16.067</v>
      </c>
      <c r="G69" s="15"/>
      <c r="I69" s="20">
        <f t="shared" si="25"/>
        <v>152005066900000</v>
      </c>
      <c r="J69" s="20">
        <v>6371</v>
      </c>
      <c r="K69" s="21">
        <v>5.6699999999999998E-8</v>
      </c>
      <c r="L69" s="20">
        <f t="shared" si="32"/>
        <v>60942099345.791</v>
      </c>
      <c r="M69" s="20">
        <f t="shared" si="26"/>
        <v>46182.504374999997</v>
      </c>
      <c r="N69" s="20">
        <f t="shared" si="27"/>
        <v>2.8144587696586773E+21</v>
      </c>
      <c r="O69" s="20">
        <f t="shared" si="33"/>
        <v>2.9035278344992954E+29</v>
      </c>
      <c r="P69" s="20">
        <f t="shared" si="34"/>
        <v>127516117.97744706</v>
      </c>
      <c r="Q69" s="20">
        <f t="shared" si="31"/>
        <v>1.2360441399947719</v>
      </c>
      <c r="R69" s="11"/>
    </row>
    <row r="70" spans="1:18" x14ac:dyDescent="0.25">
      <c r="A70" s="30"/>
      <c r="B70" s="5" t="s">
        <v>62</v>
      </c>
      <c r="D70" s="8">
        <f>D2*0.48</f>
        <v>334268.15999999997</v>
      </c>
      <c r="E70" s="3">
        <v>3620</v>
      </c>
      <c r="F70" s="3">
        <v>16.085000000000001</v>
      </c>
      <c r="G70" s="15"/>
      <c r="I70" s="20">
        <f t="shared" si="25"/>
        <v>152175359500000</v>
      </c>
      <c r="J70" s="20">
        <v>6371</v>
      </c>
      <c r="K70" s="21">
        <v>5.6699999999999998E-8</v>
      </c>
      <c r="L70" s="20">
        <f t="shared" si="32"/>
        <v>1404105968927.0247</v>
      </c>
      <c r="M70" s="20">
        <f t="shared" si="26"/>
        <v>9736824.4737119991</v>
      </c>
      <c r="N70" s="20">
        <f t="shared" si="27"/>
        <v>1.3671533361933754E+25</v>
      </c>
      <c r="O70" s="20">
        <f t="shared" si="33"/>
        <v>2.9100371737223764E+29</v>
      </c>
      <c r="P70" s="20">
        <f t="shared" si="34"/>
        <v>127516117.97744706</v>
      </c>
      <c r="Q70" s="20">
        <f t="shared" si="31"/>
        <v>5990.7855365399073</v>
      </c>
      <c r="R70" s="11"/>
    </row>
    <row r="71" spans="1:18" x14ac:dyDescent="0.25">
      <c r="A71" s="30"/>
      <c r="B71" s="5" t="s">
        <v>80</v>
      </c>
      <c r="D71" s="8">
        <f>D2*0.05</f>
        <v>34819.599999999999</v>
      </c>
      <c r="E71" s="3">
        <v>1300</v>
      </c>
      <c r="F71" s="3">
        <v>16.196999999999999</v>
      </c>
      <c r="G71" s="15"/>
      <c r="I71" s="20">
        <f t="shared" si="25"/>
        <v>153234957900000</v>
      </c>
      <c r="J71" s="20">
        <v>6371</v>
      </c>
      <c r="K71" s="21">
        <v>5.6699999999999998E-8</v>
      </c>
      <c r="L71" s="20">
        <f t="shared" si="32"/>
        <v>15235524836.44775</v>
      </c>
      <c r="M71" s="20">
        <f t="shared" si="26"/>
        <v>161940.87</v>
      </c>
      <c r="N71" s="20">
        <f t="shared" si="27"/>
        <v>2.4672541469209563E+21</v>
      </c>
      <c r="O71" s="20">
        <f t="shared" si="33"/>
        <v>2.9507034926407501E+29</v>
      </c>
      <c r="P71" s="20">
        <f t="shared" si="34"/>
        <v>127516117.97744706</v>
      </c>
      <c r="Q71" s="20">
        <f t="shared" si="31"/>
        <v>1.0662361422074023</v>
      </c>
      <c r="R71" s="11"/>
    </row>
    <row r="72" spans="1:18" x14ac:dyDescent="0.25">
      <c r="A72" s="30"/>
      <c r="B72" s="5" t="s">
        <v>63</v>
      </c>
      <c r="D72" s="8">
        <f>D2*0.26</f>
        <v>181061.92</v>
      </c>
      <c r="E72" s="3">
        <v>3100</v>
      </c>
      <c r="F72" s="3">
        <v>16.265000000000001</v>
      </c>
      <c r="G72" s="15"/>
      <c r="I72" s="20">
        <f t="shared" si="25"/>
        <v>153878285500000</v>
      </c>
      <c r="J72" s="20">
        <v>6371</v>
      </c>
      <c r="K72" s="21">
        <v>5.6699999999999998E-8</v>
      </c>
      <c r="L72" s="20">
        <f t="shared" si="32"/>
        <v>411968591577.54724</v>
      </c>
      <c r="M72" s="20">
        <f t="shared" si="26"/>
        <v>5236364.0699999994</v>
      </c>
      <c r="N72" s="20">
        <f t="shared" si="27"/>
        <v>2.1572175309051729E+24</v>
      </c>
      <c r="O72" s="20">
        <f t="shared" si="33"/>
        <v>2.9755314272265661E+29</v>
      </c>
      <c r="P72" s="20">
        <f t="shared" si="34"/>
        <v>127516117.97744706</v>
      </c>
      <c r="Q72" s="20">
        <f t="shared" si="31"/>
        <v>924.47353322131676</v>
      </c>
      <c r="R72" s="11"/>
    </row>
    <row r="73" spans="1:18" x14ac:dyDescent="0.25">
      <c r="A73" s="31"/>
      <c r="B73" s="5" t="s">
        <v>64</v>
      </c>
      <c r="D73" s="8">
        <f>D2*0.12</f>
        <v>83567.039999999994</v>
      </c>
      <c r="E73" s="3">
        <v>2500</v>
      </c>
      <c r="F73" s="3">
        <v>16.265000000000001</v>
      </c>
      <c r="G73" s="15"/>
      <c r="I73" s="20">
        <f t="shared" si="25"/>
        <v>153878285500000</v>
      </c>
      <c r="J73" s="20">
        <v>6371</v>
      </c>
      <c r="K73" s="21">
        <v>5.6699999999999998E-8</v>
      </c>
      <c r="L73" s="23">
        <f t="shared" si="32"/>
        <v>87756623057.939041</v>
      </c>
      <c r="M73" s="20">
        <f t="shared" si="26"/>
        <v>2214843.75</v>
      </c>
      <c r="N73" s="20">
        <f t="shared" si="27"/>
        <v>1.9436720810098218E+23</v>
      </c>
      <c r="O73" s="23">
        <f t="shared" si="33"/>
        <v>2.9755314272265661E+29</v>
      </c>
      <c r="P73" s="20">
        <f t="shared" si="34"/>
        <v>127516117.97744706</v>
      </c>
      <c r="Q73" s="20">
        <f t="shared" si="31"/>
        <v>83.295883257577998</v>
      </c>
      <c r="R73" s="2"/>
    </row>
    <row r="74" spans="1:18" ht="48" customHeight="1" x14ac:dyDescent="0.25">
      <c r="A74" s="32" t="s">
        <v>90</v>
      </c>
      <c r="B74" s="33"/>
      <c r="C74" s="10"/>
      <c r="D74" s="34">
        <f>SUM(Q3:Q73)</f>
        <v>21346503.154678568</v>
      </c>
      <c r="E74" s="34"/>
      <c r="F74" s="34"/>
      <c r="G74" s="13"/>
      <c r="H74" s="16"/>
      <c r="I74" s="17"/>
      <c r="J74" s="17"/>
      <c r="K74" s="18"/>
      <c r="L74" s="18"/>
      <c r="M74" s="18"/>
      <c r="N74" s="18"/>
      <c r="O74" s="18"/>
      <c r="P74" s="18"/>
      <c r="Q74" s="18"/>
    </row>
    <row r="75" spans="1:18" ht="48" customHeight="1" x14ac:dyDescent="0.25">
      <c r="A75" s="32" t="s">
        <v>89</v>
      </c>
      <c r="B75" s="33"/>
      <c r="C75" s="10"/>
      <c r="D75" s="35">
        <f>D74/1000000</f>
        <v>21.346503154678569</v>
      </c>
      <c r="E75" s="35"/>
      <c r="F75" s="35"/>
      <c r="G75" s="13"/>
      <c r="H75" s="19"/>
    </row>
    <row r="76" spans="1:18" ht="48" customHeight="1" x14ac:dyDescent="0.25">
      <c r="A76" s="32" t="s">
        <v>88</v>
      </c>
      <c r="B76" s="33"/>
      <c r="C76" s="10"/>
      <c r="D76" s="34">
        <f>SUM(Q2:Q73)</f>
        <v>1.7468497675379539E+17</v>
      </c>
      <c r="E76" s="34"/>
      <c r="F76" s="34"/>
      <c r="G76" s="13"/>
      <c r="I76" s="22"/>
    </row>
    <row r="77" spans="1:18" ht="48" customHeight="1" x14ac:dyDescent="0.25">
      <c r="A77" s="32" t="s">
        <v>87</v>
      </c>
      <c r="B77" s="33"/>
      <c r="C77" s="10"/>
      <c r="D77" s="35">
        <f>D76/1E+21</f>
        <v>1.746849767537954E-4</v>
      </c>
      <c r="E77" s="35"/>
      <c r="F77" s="35"/>
      <c r="G77" s="13"/>
    </row>
    <row r="79" spans="1:18" x14ac:dyDescent="0.25">
      <c r="D79" s="12"/>
    </row>
  </sheetData>
  <mergeCells count="11">
    <mergeCell ref="D77:F77"/>
    <mergeCell ref="A76:B76"/>
    <mergeCell ref="D76:F76"/>
    <mergeCell ref="A74:B74"/>
    <mergeCell ref="A77:B77"/>
    <mergeCell ref="A1:B1"/>
    <mergeCell ref="A2:A14"/>
    <mergeCell ref="A15:A73"/>
    <mergeCell ref="A75:B75"/>
    <mergeCell ref="D74:F74"/>
    <mergeCell ref="D75:F75"/>
  </mergeCells>
  <pageMargins left="0.7" right="0.7" top="0.75" bottom="0.75" header="0.3" footer="0.3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Intercepted Energy</vt:lpstr>
      <vt:lpstr>'Intercepted Energy'!Print_Area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Skinner</dc:creator>
  <cp:lastModifiedBy>Chris Skinner</cp:lastModifiedBy>
  <cp:lastPrinted>2018-04-30T15:07:33Z</cp:lastPrinted>
  <dcterms:created xsi:type="dcterms:W3CDTF">2018-04-30T14:26:13Z</dcterms:created>
  <dcterms:modified xsi:type="dcterms:W3CDTF">2019-05-14T09:30:47Z</dcterms:modified>
</cp:coreProperties>
</file>