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sokoray\Desktop\"/>
    </mc:Choice>
  </mc:AlternateContent>
  <xr:revisionPtr revIDLastSave="0" documentId="8_{A4858A74-D629-4F80-9855-54539E3C361F}" xr6:coauthVersionLast="40" xr6:coauthVersionMax="40" xr10:uidLastSave="{00000000-0000-0000-0000-000000000000}"/>
  <bookViews>
    <workbookView xWindow="-120" yWindow="-120" windowWidth="29040" windowHeight="17640" activeTab="1" xr2:uid="{04393082-D31A-4D38-A47B-48EFBC9A1B6B}"/>
  </bookViews>
  <sheets>
    <sheet name="N2 REchner" sheetId="6" r:id="rId1"/>
    <sheet name="TGP Tabelle" sheetId="3" r:id="rId2"/>
    <sheet name="Tools=&gt;" sheetId="5" r:id="rId3"/>
    <sheet name="solublity of gases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2" i="3" l="1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T37" i="3"/>
  <c r="P37" i="3"/>
  <c r="L37" i="3"/>
  <c r="I14" i="3"/>
  <c r="I13" i="3"/>
  <c r="I34" i="6" l="1"/>
  <c r="I30" i="6"/>
  <c r="Q10" i="6"/>
  <c r="G12" i="3"/>
  <c r="F12" i="3" l="1"/>
  <c r="H12" i="3"/>
  <c r="I15" i="2" l="1"/>
  <c r="H34" i="6" l="1"/>
  <c r="C9" i="6"/>
  <c r="Q7" i="6" s="1"/>
  <c r="C18" i="6" s="1"/>
  <c r="G9" i="6"/>
  <c r="D14" i="6" s="1"/>
  <c r="D9" i="6"/>
  <c r="D30" i="6" s="1"/>
  <c r="E12" i="3"/>
  <c r="C26" i="6" l="1"/>
  <c r="Q8" i="6"/>
  <c r="D34" i="6"/>
  <c r="Q9" i="6"/>
  <c r="C14" i="6" s="1"/>
  <c r="C30" i="6" s="1"/>
  <c r="E30" i="6" s="1"/>
  <c r="D18" i="6"/>
  <c r="E18" i="6" s="1"/>
  <c r="H30" i="6" s="1"/>
  <c r="D22" i="6"/>
  <c r="C22" i="6" s="1"/>
  <c r="J52" i="3"/>
  <c r="L53" i="3"/>
  <c r="L57" i="3"/>
  <c r="F48" i="3"/>
  <c r="J48" i="3" s="1"/>
  <c r="F51" i="3"/>
  <c r="J51" i="3" s="1"/>
  <c r="F52" i="3"/>
  <c r="F55" i="3"/>
  <c r="F56" i="3"/>
  <c r="J56" i="3" s="1"/>
  <c r="F59" i="3"/>
  <c r="J59" i="3" s="1"/>
  <c r="F60" i="3"/>
  <c r="J60" i="3" s="1"/>
  <c r="E48" i="3"/>
  <c r="E52" i="3"/>
  <c r="E56" i="3"/>
  <c r="E60" i="3"/>
  <c r="D48" i="3"/>
  <c r="D49" i="3"/>
  <c r="E49" i="3" s="1"/>
  <c r="D50" i="3"/>
  <c r="E50" i="3" s="1"/>
  <c r="D51" i="3"/>
  <c r="E51" i="3" s="1"/>
  <c r="D52" i="3"/>
  <c r="D53" i="3"/>
  <c r="E53" i="3" s="1"/>
  <c r="D54" i="3"/>
  <c r="E54" i="3" s="1"/>
  <c r="D55" i="3"/>
  <c r="E55" i="3" s="1"/>
  <c r="D56" i="3"/>
  <c r="D57" i="3"/>
  <c r="E57" i="3" s="1"/>
  <c r="D58" i="3"/>
  <c r="E58" i="3" s="1"/>
  <c r="D59" i="3"/>
  <c r="E59" i="3" s="1"/>
  <c r="D60" i="3"/>
  <c r="D61" i="3"/>
  <c r="E61" i="3" s="1"/>
  <c r="D62" i="3"/>
  <c r="E62" i="3" s="1"/>
  <c r="C48" i="3"/>
  <c r="G48" i="3" s="1"/>
  <c r="C49" i="3"/>
  <c r="F49" i="3" s="1"/>
  <c r="C50" i="3"/>
  <c r="C51" i="3"/>
  <c r="G51" i="3" s="1"/>
  <c r="C52" i="3"/>
  <c r="G52" i="3" s="1"/>
  <c r="C53" i="3"/>
  <c r="F53" i="3" s="1"/>
  <c r="C54" i="3"/>
  <c r="C55" i="3"/>
  <c r="G55" i="3" s="1"/>
  <c r="C56" i="3"/>
  <c r="G56" i="3" s="1"/>
  <c r="C57" i="3"/>
  <c r="F57" i="3" s="1"/>
  <c r="C58" i="3"/>
  <c r="C59" i="3"/>
  <c r="G59" i="3" s="1"/>
  <c r="C60" i="3"/>
  <c r="G60" i="3" s="1"/>
  <c r="C61" i="3"/>
  <c r="F61" i="3" s="1"/>
  <c r="C62" i="3"/>
  <c r="L35" i="3"/>
  <c r="R3" i="3"/>
  <c r="C14" i="3"/>
  <c r="G14" i="3" s="1"/>
  <c r="C15" i="3"/>
  <c r="F15" i="3" s="1"/>
  <c r="C16" i="3"/>
  <c r="C17" i="3"/>
  <c r="G17" i="3" s="1"/>
  <c r="C18" i="3"/>
  <c r="G18" i="3" s="1"/>
  <c r="C19" i="3"/>
  <c r="F19" i="3" s="1"/>
  <c r="C20" i="3"/>
  <c r="C21" i="3"/>
  <c r="G21" i="3" s="1"/>
  <c r="C22" i="3"/>
  <c r="G22" i="3" s="1"/>
  <c r="C23" i="3"/>
  <c r="F23" i="3" s="1"/>
  <c r="C24" i="3"/>
  <c r="C25" i="3"/>
  <c r="G25" i="3" s="1"/>
  <c r="C26" i="3"/>
  <c r="G26" i="3" s="1"/>
  <c r="C27" i="3"/>
  <c r="F27" i="3" s="1"/>
  <c r="C28" i="3"/>
  <c r="C29" i="3"/>
  <c r="G29" i="3" s="1"/>
  <c r="C30" i="3"/>
  <c r="G30" i="3" s="1"/>
  <c r="C31" i="3"/>
  <c r="F31" i="3" s="1"/>
  <c r="C32" i="3"/>
  <c r="C33" i="3"/>
  <c r="G33" i="3" s="1"/>
  <c r="C34" i="3"/>
  <c r="G34" i="3" s="1"/>
  <c r="C35" i="3"/>
  <c r="F35" i="3" s="1"/>
  <c r="C36" i="3"/>
  <c r="L36" i="3" s="1"/>
  <c r="C37" i="3"/>
  <c r="G37" i="3" s="1"/>
  <c r="C38" i="3"/>
  <c r="G38" i="3" s="1"/>
  <c r="C39" i="3"/>
  <c r="F39" i="3" s="1"/>
  <c r="C40" i="3"/>
  <c r="C41" i="3"/>
  <c r="G41" i="3" s="1"/>
  <c r="C42" i="3"/>
  <c r="G42" i="3" s="1"/>
  <c r="C43" i="3"/>
  <c r="F43" i="3" s="1"/>
  <c r="C44" i="3"/>
  <c r="C45" i="3"/>
  <c r="G45" i="3" s="1"/>
  <c r="C46" i="3"/>
  <c r="G46" i="3" s="1"/>
  <c r="C47" i="3"/>
  <c r="F47" i="3" s="1"/>
  <c r="C13" i="3"/>
  <c r="G13" i="3" s="1"/>
  <c r="C12" i="3"/>
  <c r="D47" i="3"/>
  <c r="E47" i="3" s="1"/>
  <c r="D46" i="3"/>
  <c r="E46" i="3" s="1"/>
  <c r="D45" i="3"/>
  <c r="E45" i="3" s="1"/>
  <c r="D44" i="3"/>
  <c r="E44" i="3" s="1"/>
  <c r="D43" i="3"/>
  <c r="E43" i="3" s="1"/>
  <c r="D42" i="3"/>
  <c r="E42" i="3" s="1"/>
  <c r="D41" i="3"/>
  <c r="E41" i="3" s="1"/>
  <c r="D40" i="3"/>
  <c r="E40" i="3" s="1"/>
  <c r="D39" i="3"/>
  <c r="E39" i="3" s="1"/>
  <c r="D38" i="3"/>
  <c r="E38" i="3" s="1"/>
  <c r="D37" i="3"/>
  <c r="E37" i="3" s="1"/>
  <c r="D36" i="3"/>
  <c r="E36" i="3" s="1"/>
  <c r="D35" i="3"/>
  <c r="E35" i="3" s="1"/>
  <c r="D34" i="3"/>
  <c r="E34" i="3" s="1"/>
  <c r="D33" i="3"/>
  <c r="E33" i="3" s="1"/>
  <c r="D32" i="3"/>
  <c r="E32" i="3" s="1"/>
  <c r="D31" i="3"/>
  <c r="E31" i="3" s="1"/>
  <c r="D30" i="3"/>
  <c r="E30" i="3" s="1"/>
  <c r="D29" i="3"/>
  <c r="E29" i="3" s="1"/>
  <c r="D28" i="3"/>
  <c r="E28" i="3" s="1"/>
  <c r="D27" i="3"/>
  <c r="E27" i="3" s="1"/>
  <c r="D26" i="3"/>
  <c r="E26" i="3" s="1"/>
  <c r="D25" i="3"/>
  <c r="E25" i="3" s="1"/>
  <c r="D24" i="3"/>
  <c r="E24" i="3" s="1"/>
  <c r="D23" i="3"/>
  <c r="E23" i="3" s="1"/>
  <c r="D22" i="3"/>
  <c r="E22" i="3" s="1"/>
  <c r="D21" i="3"/>
  <c r="E21" i="3" s="1"/>
  <c r="D20" i="3"/>
  <c r="E20" i="3" s="1"/>
  <c r="D19" i="3"/>
  <c r="E19" i="3" s="1"/>
  <c r="D18" i="3"/>
  <c r="E18" i="3" s="1"/>
  <c r="D17" i="3"/>
  <c r="E17" i="3" s="1"/>
  <c r="D16" i="3"/>
  <c r="E16" i="3" s="1"/>
  <c r="D15" i="3"/>
  <c r="E15" i="3" s="1"/>
  <c r="D14" i="3"/>
  <c r="E14" i="3" s="1"/>
  <c r="D13" i="3"/>
  <c r="E13" i="3" s="1"/>
  <c r="D12" i="3"/>
  <c r="T51" i="3" l="1"/>
  <c r="P19" i="3"/>
  <c r="S16" i="3"/>
  <c r="O15" i="3"/>
  <c r="P36" i="3"/>
  <c r="O37" i="3"/>
  <c r="T36" i="3"/>
  <c r="X36" i="3" s="1"/>
  <c r="F30" i="6"/>
  <c r="F34" i="6"/>
  <c r="B30" i="6"/>
  <c r="E22" i="6"/>
  <c r="C34" i="6"/>
  <c r="E14" i="6"/>
  <c r="O56" i="3"/>
  <c r="K56" i="3"/>
  <c r="O55" i="3"/>
  <c r="K55" i="3"/>
  <c r="P62" i="3"/>
  <c r="L62" i="3"/>
  <c r="P58" i="3"/>
  <c r="L58" i="3"/>
  <c r="P54" i="3"/>
  <c r="L54" i="3"/>
  <c r="P50" i="3"/>
  <c r="L50" i="3"/>
  <c r="O60" i="3"/>
  <c r="K60" i="3"/>
  <c r="O59" i="3"/>
  <c r="K59" i="3"/>
  <c r="O51" i="3"/>
  <c r="K51" i="3"/>
  <c r="N61" i="3"/>
  <c r="J61" i="3"/>
  <c r="N57" i="3"/>
  <c r="J57" i="3"/>
  <c r="N53" i="3"/>
  <c r="J53" i="3"/>
  <c r="N49" i="3"/>
  <c r="J49" i="3"/>
  <c r="O52" i="3"/>
  <c r="K52" i="3"/>
  <c r="O48" i="3"/>
  <c r="K48" i="3"/>
  <c r="N12" i="3"/>
  <c r="J12" i="3"/>
  <c r="K41" i="3"/>
  <c r="O41" i="3"/>
  <c r="K37" i="3"/>
  <c r="K29" i="3"/>
  <c r="O29" i="3"/>
  <c r="K17" i="3"/>
  <c r="O17" i="3"/>
  <c r="P35" i="3"/>
  <c r="R36" i="3"/>
  <c r="S39" i="3"/>
  <c r="T40" i="3"/>
  <c r="N55" i="3"/>
  <c r="G58" i="3"/>
  <c r="G54" i="3"/>
  <c r="P61" i="3"/>
  <c r="P49" i="3"/>
  <c r="L61" i="3"/>
  <c r="R48" i="3"/>
  <c r="V48" i="3" s="1"/>
  <c r="K13" i="3"/>
  <c r="O13" i="3"/>
  <c r="P44" i="3"/>
  <c r="P40" i="3"/>
  <c r="P32" i="3"/>
  <c r="P28" i="3"/>
  <c r="P24" i="3"/>
  <c r="P20" i="3"/>
  <c r="P16" i="3"/>
  <c r="P47" i="3"/>
  <c r="P31" i="3"/>
  <c r="P15" i="3"/>
  <c r="R32" i="3"/>
  <c r="R16" i="3"/>
  <c r="S35" i="3"/>
  <c r="S19" i="3"/>
  <c r="T20" i="3"/>
  <c r="F62" i="3"/>
  <c r="F58" i="3"/>
  <c r="F54" i="3"/>
  <c r="F50" i="3"/>
  <c r="G61" i="3"/>
  <c r="G57" i="3"/>
  <c r="G53" i="3"/>
  <c r="G49" i="3"/>
  <c r="J55" i="3"/>
  <c r="T62" i="3"/>
  <c r="T61" i="3"/>
  <c r="T60" i="3"/>
  <c r="T59" i="3"/>
  <c r="T58" i="3"/>
  <c r="T57" i="3"/>
  <c r="X57" i="3" s="1"/>
  <c r="T56" i="3"/>
  <c r="T55" i="3"/>
  <c r="T54" i="3"/>
  <c r="T53" i="3"/>
  <c r="T52" i="3"/>
  <c r="L49" i="3"/>
  <c r="T13" i="3"/>
  <c r="R12" i="3"/>
  <c r="R20" i="3"/>
  <c r="S23" i="3"/>
  <c r="T24" i="3"/>
  <c r="N59" i="3"/>
  <c r="N51" i="3"/>
  <c r="G62" i="3"/>
  <c r="G50" i="3"/>
  <c r="P57" i="3"/>
  <c r="P53" i="3"/>
  <c r="R50" i="3"/>
  <c r="R49" i="3"/>
  <c r="S14" i="3"/>
  <c r="N47" i="3"/>
  <c r="N43" i="3"/>
  <c r="N39" i="3"/>
  <c r="J35" i="3"/>
  <c r="N35" i="3"/>
  <c r="J31" i="3"/>
  <c r="N31" i="3"/>
  <c r="J27" i="3"/>
  <c r="N27" i="3"/>
  <c r="J23" i="3"/>
  <c r="N23" i="3"/>
  <c r="J19" i="3"/>
  <c r="N19" i="3"/>
  <c r="J15" i="3"/>
  <c r="N15" i="3"/>
  <c r="P43" i="3"/>
  <c r="P27" i="3"/>
  <c r="R44" i="3"/>
  <c r="R28" i="3"/>
  <c r="S47" i="3"/>
  <c r="S31" i="3"/>
  <c r="T12" i="3"/>
  <c r="T32" i="3"/>
  <c r="T16" i="3"/>
  <c r="S62" i="3"/>
  <c r="S61" i="3"/>
  <c r="S60" i="3"/>
  <c r="S59" i="3"/>
  <c r="S58" i="3"/>
  <c r="S57" i="3"/>
  <c r="S56" i="3"/>
  <c r="S55" i="3"/>
  <c r="S54" i="3"/>
  <c r="S53" i="3"/>
  <c r="S52" i="3"/>
  <c r="S51" i="3"/>
  <c r="T50" i="3"/>
  <c r="T49" i="3"/>
  <c r="X49" i="3" s="1"/>
  <c r="T48" i="3"/>
  <c r="K45" i="3"/>
  <c r="O45" i="3"/>
  <c r="K33" i="3"/>
  <c r="W33" i="3" s="1"/>
  <c r="O33" i="3"/>
  <c r="K25" i="3"/>
  <c r="O25" i="3"/>
  <c r="K21" i="3"/>
  <c r="O21" i="3"/>
  <c r="K46" i="3"/>
  <c r="O46" i="3"/>
  <c r="K42" i="3"/>
  <c r="O42" i="3"/>
  <c r="K38" i="3"/>
  <c r="O38" i="3"/>
  <c r="K34" i="3"/>
  <c r="O34" i="3"/>
  <c r="K30" i="3"/>
  <c r="O30" i="3"/>
  <c r="K26" i="3"/>
  <c r="O26" i="3"/>
  <c r="K22" i="3"/>
  <c r="O22" i="3"/>
  <c r="K18" i="3"/>
  <c r="O18" i="3"/>
  <c r="K14" i="3"/>
  <c r="W14" i="3" s="1"/>
  <c r="O14" i="3"/>
  <c r="P39" i="3"/>
  <c r="P23" i="3"/>
  <c r="R40" i="3"/>
  <c r="R24" i="3"/>
  <c r="S43" i="3"/>
  <c r="S27" i="3"/>
  <c r="T44" i="3"/>
  <c r="T28" i="3"/>
  <c r="N60" i="3"/>
  <c r="N56" i="3"/>
  <c r="N52" i="3"/>
  <c r="N48" i="3"/>
  <c r="R62" i="3"/>
  <c r="R61" i="3"/>
  <c r="R60" i="3"/>
  <c r="V60" i="3" s="1"/>
  <c r="R59" i="3"/>
  <c r="V59" i="3" s="1"/>
  <c r="R58" i="3"/>
  <c r="R57" i="3"/>
  <c r="R56" i="3"/>
  <c r="R55" i="3"/>
  <c r="R54" i="3"/>
  <c r="R53" i="3"/>
  <c r="R52" i="3"/>
  <c r="V52" i="3" s="1"/>
  <c r="R51" i="3"/>
  <c r="S50" i="3"/>
  <c r="S49" i="3"/>
  <c r="S48" i="3"/>
  <c r="X53" i="3"/>
  <c r="V56" i="3"/>
  <c r="V51" i="3"/>
  <c r="F37" i="3"/>
  <c r="P46" i="3"/>
  <c r="P42" i="3"/>
  <c r="P38" i="3"/>
  <c r="P34" i="3"/>
  <c r="P30" i="3"/>
  <c r="P26" i="3"/>
  <c r="P22" i="3"/>
  <c r="P14" i="3"/>
  <c r="R47" i="3"/>
  <c r="R43" i="3"/>
  <c r="R39" i="3"/>
  <c r="R35" i="3"/>
  <c r="R31" i="3"/>
  <c r="R27" i="3"/>
  <c r="R23" i="3"/>
  <c r="R19" i="3"/>
  <c r="R15" i="3"/>
  <c r="S46" i="3"/>
  <c r="S42" i="3"/>
  <c r="S38" i="3"/>
  <c r="W38" i="3" s="1"/>
  <c r="S34" i="3"/>
  <c r="S30" i="3"/>
  <c r="S26" i="3"/>
  <c r="S22" i="3"/>
  <c r="W22" i="3" s="1"/>
  <c r="S18" i="3"/>
  <c r="S13" i="3"/>
  <c r="T47" i="3"/>
  <c r="T43" i="3"/>
  <c r="T39" i="3"/>
  <c r="T35" i="3"/>
  <c r="T31" i="3"/>
  <c r="T27" i="3"/>
  <c r="T23" i="3"/>
  <c r="T19" i="3"/>
  <c r="T15" i="3"/>
  <c r="P45" i="3"/>
  <c r="P41" i="3"/>
  <c r="P33" i="3"/>
  <c r="P29" i="3"/>
  <c r="P25" i="3"/>
  <c r="P21" i="3"/>
  <c r="P17" i="3"/>
  <c r="P13" i="3"/>
  <c r="R46" i="3"/>
  <c r="R42" i="3"/>
  <c r="R38" i="3"/>
  <c r="R34" i="3"/>
  <c r="R30" i="3"/>
  <c r="R26" i="3"/>
  <c r="R22" i="3"/>
  <c r="R18" i="3"/>
  <c r="R14" i="3"/>
  <c r="S45" i="3"/>
  <c r="S41" i="3"/>
  <c r="W41" i="3" s="1"/>
  <c r="S37" i="3"/>
  <c r="S33" i="3"/>
  <c r="S29" i="3"/>
  <c r="S25" i="3"/>
  <c r="S21" i="3"/>
  <c r="S17" i="3"/>
  <c r="S12" i="3"/>
  <c r="T46" i="3"/>
  <c r="T42" i="3"/>
  <c r="T38" i="3"/>
  <c r="T34" i="3"/>
  <c r="T30" i="3"/>
  <c r="T26" i="3"/>
  <c r="T22" i="3"/>
  <c r="T18" i="3"/>
  <c r="T14" i="3"/>
  <c r="R45" i="3"/>
  <c r="R41" i="3"/>
  <c r="R37" i="3"/>
  <c r="R33" i="3"/>
  <c r="R29" i="3"/>
  <c r="R25" i="3"/>
  <c r="R21" i="3"/>
  <c r="R17" i="3"/>
  <c r="R13" i="3"/>
  <c r="S44" i="3"/>
  <c r="S40" i="3"/>
  <c r="S36" i="3"/>
  <c r="S32" i="3"/>
  <c r="S28" i="3"/>
  <c r="S24" i="3"/>
  <c r="S20" i="3"/>
  <c r="S15" i="3"/>
  <c r="T45" i="3"/>
  <c r="T41" i="3"/>
  <c r="T33" i="3"/>
  <c r="T29" i="3"/>
  <c r="T25" i="3"/>
  <c r="T21" i="3"/>
  <c r="T17" i="3"/>
  <c r="L44" i="3"/>
  <c r="L40" i="3"/>
  <c r="L32" i="3"/>
  <c r="L28" i="3"/>
  <c r="L24" i="3"/>
  <c r="L20" i="3"/>
  <c r="L16" i="3"/>
  <c r="J47" i="3"/>
  <c r="J43" i="3"/>
  <c r="J39" i="3"/>
  <c r="V39" i="3" s="1"/>
  <c r="L15" i="3"/>
  <c r="F18" i="3"/>
  <c r="N18" i="3" s="1"/>
  <c r="F34" i="3"/>
  <c r="N34" i="3" s="1"/>
  <c r="F21" i="3"/>
  <c r="N21" i="3" s="1"/>
  <c r="F45" i="3"/>
  <c r="N45" i="3" s="1"/>
  <c r="F29" i="3"/>
  <c r="N29" i="3" s="1"/>
  <c r="L47" i="3"/>
  <c r="F42" i="3"/>
  <c r="N42" i="3" s="1"/>
  <c r="F26" i="3"/>
  <c r="N26" i="3" s="1"/>
  <c r="L31" i="3"/>
  <c r="L43" i="3"/>
  <c r="F41" i="3"/>
  <c r="N41" i="3" s="1"/>
  <c r="F33" i="3"/>
  <c r="N33" i="3" s="1"/>
  <c r="F25" i="3"/>
  <c r="N25" i="3" s="1"/>
  <c r="F17" i="3"/>
  <c r="N17" i="3" s="1"/>
  <c r="L39" i="3"/>
  <c r="L23" i="3"/>
  <c r="F46" i="3"/>
  <c r="N46" i="3" s="1"/>
  <c r="F38" i="3"/>
  <c r="N38" i="3" s="1"/>
  <c r="F30" i="3"/>
  <c r="N30" i="3" s="1"/>
  <c r="F22" i="3"/>
  <c r="N22" i="3" s="1"/>
  <c r="F14" i="3"/>
  <c r="N14" i="3" s="1"/>
  <c r="L19" i="3"/>
  <c r="F13" i="3"/>
  <c r="N13" i="3" s="1"/>
  <c r="G32" i="3"/>
  <c r="O32" i="3" s="1"/>
  <c r="G28" i="3"/>
  <c r="O28" i="3" s="1"/>
  <c r="G20" i="3"/>
  <c r="O20" i="3" s="1"/>
  <c r="G16" i="3"/>
  <c r="O16" i="3" s="1"/>
  <c r="O12" i="3"/>
  <c r="F44" i="3"/>
  <c r="N44" i="3" s="1"/>
  <c r="F40" i="3"/>
  <c r="N40" i="3" s="1"/>
  <c r="F36" i="3"/>
  <c r="N36" i="3" s="1"/>
  <c r="F32" i="3"/>
  <c r="N32" i="3" s="1"/>
  <c r="F28" i="3"/>
  <c r="N28" i="3" s="1"/>
  <c r="F24" i="3"/>
  <c r="N24" i="3" s="1"/>
  <c r="F20" i="3"/>
  <c r="N20" i="3" s="1"/>
  <c r="F16" i="3"/>
  <c r="N16" i="3" s="1"/>
  <c r="G47" i="3"/>
  <c r="O47" i="3" s="1"/>
  <c r="G43" i="3"/>
  <c r="O43" i="3" s="1"/>
  <c r="G39" i="3"/>
  <c r="O39" i="3" s="1"/>
  <c r="G35" i="3"/>
  <c r="O35" i="3" s="1"/>
  <c r="G31" i="3"/>
  <c r="O31" i="3" s="1"/>
  <c r="G27" i="3"/>
  <c r="O27" i="3" s="1"/>
  <c r="G23" i="3"/>
  <c r="O23" i="3" s="1"/>
  <c r="G19" i="3"/>
  <c r="O19" i="3" s="1"/>
  <c r="G15" i="3"/>
  <c r="L42" i="3"/>
  <c r="L38" i="3"/>
  <c r="L22" i="3"/>
  <c r="G44" i="3"/>
  <c r="O44" i="3" s="1"/>
  <c r="G40" i="3"/>
  <c r="O40" i="3" s="1"/>
  <c r="G36" i="3"/>
  <c r="G24" i="3"/>
  <c r="O24" i="3" s="1"/>
  <c r="L41" i="3"/>
  <c r="L33" i="3"/>
  <c r="L25" i="3"/>
  <c r="L17" i="3"/>
  <c r="W34" i="3" l="1"/>
  <c r="L27" i="3"/>
  <c r="V47" i="3"/>
  <c r="W18" i="3"/>
  <c r="O36" i="3"/>
  <c r="K36" i="3"/>
  <c r="L26" i="3"/>
  <c r="X54" i="3"/>
  <c r="X62" i="3"/>
  <c r="V55" i="3"/>
  <c r="W29" i="3"/>
  <c r="W52" i="3"/>
  <c r="V53" i="3"/>
  <c r="V61" i="3"/>
  <c r="X50" i="3"/>
  <c r="X58" i="3"/>
  <c r="V19" i="3"/>
  <c r="V35" i="3"/>
  <c r="W25" i="3"/>
  <c r="W45" i="3"/>
  <c r="W17" i="3"/>
  <c r="X61" i="3"/>
  <c r="W21" i="3"/>
  <c r="W26" i="3"/>
  <c r="W42" i="3"/>
  <c r="B34" i="6"/>
  <c r="E34" i="6"/>
  <c r="W13" i="3"/>
  <c r="W55" i="3"/>
  <c r="V15" i="3"/>
  <c r="V31" i="3"/>
  <c r="V23" i="3"/>
  <c r="P51" i="3"/>
  <c r="L51" i="3"/>
  <c r="P48" i="3"/>
  <c r="L48" i="3"/>
  <c r="N50" i="3"/>
  <c r="J50" i="3"/>
  <c r="L21" i="3"/>
  <c r="X21" i="3" s="1"/>
  <c r="L30" i="3"/>
  <c r="X30" i="3" s="1"/>
  <c r="L46" i="3"/>
  <c r="W30" i="3"/>
  <c r="W46" i="3"/>
  <c r="V27" i="3"/>
  <c r="P55" i="3"/>
  <c r="L55" i="3"/>
  <c r="X55" i="3" s="1"/>
  <c r="O50" i="3"/>
  <c r="K50" i="3"/>
  <c r="P52" i="3"/>
  <c r="L52" i="3"/>
  <c r="X52" i="3" s="1"/>
  <c r="O53" i="3"/>
  <c r="K53" i="3"/>
  <c r="W53" i="3" s="1"/>
  <c r="N54" i="3"/>
  <c r="J54" i="3"/>
  <c r="O58" i="3"/>
  <c r="K58" i="3"/>
  <c r="W58" i="3" s="1"/>
  <c r="P12" i="3"/>
  <c r="L12" i="3"/>
  <c r="X12" i="3" s="1"/>
  <c r="P18" i="3"/>
  <c r="L18" i="3"/>
  <c r="X18" i="3" s="1"/>
  <c r="J37" i="3"/>
  <c r="V37" i="3" s="1"/>
  <c r="N37" i="3"/>
  <c r="O49" i="3"/>
  <c r="K49" i="3"/>
  <c r="O54" i="3"/>
  <c r="K54" i="3"/>
  <c r="W54" i="3" s="1"/>
  <c r="L14" i="3"/>
  <c r="X14" i="3" s="1"/>
  <c r="L34" i="3"/>
  <c r="X34" i="3" s="1"/>
  <c r="W37" i="3"/>
  <c r="Z52" i="3"/>
  <c r="AA52" i="3" s="1"/>
  <c r="AB52" i="3" s="1"/>
  <c r="W59" i="3"/>
  <c r="W50" i="3"/>
  <c r="P59" i="3"/>
  <c r="L59" i="3"/>
  <c r="X59" i="3" s="1"/>
  <c r="O62" i="3"/>
  <c r="K62" i="3"/>
  <c r="W62" i="3" s="1"/>
  <c r="P56" i="3"/>
  <c r="L56" i="3"/>
  <c r="O57" i="3"/>
  <c r="K57" i="3"/>
  <c r="N58" i="3"/>
  <c r="J58" i="3"/>
  <c r="W48" i="3"/>
  <c r="V49" i="3"/>
  <c r="V57" i="3"/>
  <c r="W51" i="3"/>
  <c r="W60" i="3"/>
  <c r="W56" i="3"/>
  <c r="P60" i="3"/>
  <c r="L60" i="3"/>
  <c r="O61" i="3"/>
  <c r="K61" i="3"/>
  <c r="N62" i="3"/>
  <c r="J62" i="3"/>
  <c r="V12" i="3"/>
  <c r="X33" i="3"/>
  <c r="X39" i="3"/>
  <c r="X15" i="3"/>
  <c r="X28" i="3"/>
  <c r="X44" i="3"/>
  <c r="X17" i="3"/>
  <c r="X37" i="3"/>
  <c r="X22" i="3"/>
  <c r="X38" i="3"/>
  <c r="X16" i="3"/>
  <c r="X32" i="3"/>
  <c r="X41" i="3"/>
  <c r="X27" i="3"/>
  <c r="X43" i="3"/>
  <c r="X47" i="3"/>
  <c r="X20" i="3"/>
  <c r="X25" i="3"/>
  <c r="X46" i="3"/>
  <c r="X23" i="3"/>
  <c r="X31" i="3"/>
  <c r="X24" i="3"/>
  <c r="X40" i="3"/>
  <c r="K19" i="3"/>
  <c r="W19" i="3" s="1"/>
  <c r="K12" i="3"/>
  <c r="L13" i="3"/>
  <c r="X13" i="3" s="1"/>
  <c r="L29" i="3"/>
  <c r="L45" i="3"/>
  <c r="K44" i="3"/>
  <c r="W44" i="3" s="1"/>
  <c r="X26" i="3"/>
  <c r="X42" i="3"/>
  <c r="K23" i="3"/>
  <c r="W23" i="3" s="1"/>
  <c r="K39" i="3"/>
  <c r="W39" i="3" s="1"/>
  <c r="K16" i="3"/>
  <c r="W16" i="3" s="1"/>
  <c r="V43" i="3"/>
  <c r="K24" i="3"/>
  <c r="W24" i="3" s="1"/>
  <c r="K27" i="3"/>
  <c r="W27" i="3" s="1"/>
  <c r="K43" i="3"/>
  <c r="W43" i="3" s="1"/>
  <c r="K20" i="3"/>
  <c r="W20" i="3" s="1"/>
  <c r="X19" i="3"/>
  <c r="K40" i="3"/>
  <c r="W40" i="3" s="1"/>
  <c r="K35" i="3"/>
  <c r="W35" i="3" s="1"/>
  <c r="K32" i="3"/>
  <c r="W32" i="3" s="1"/>
  <c r="W36" i="3"/>
  <c r="K15" i="3"/>
  <c r="W15" i="3" s="1"/>
  <c r="K31" i="3"/>
  <c r="W31" i="3" s="1"/>
  <c r="K47" i="3"/>
  <c r="W47" i="3" s="1"/>
  <c r="K28" i="3"/>
  <c r="W28" i="3" s="1"/>
  <c r="X35" i="3"/>
  <c r="J24" i="3"/>
  <c r="V24" i="3" s="1"/>
  <c r="J30" i="3"/>
  <c r="V30" i="3" s="1"/>
  <c r="J29" i="3"/>
  <c r="V29" i="3" s="1"/>
  <c r="J28" i="3"/>
  <c r="V28" i="3" s="1"/>
  <c r="J44" i="3"/>
  <c r="V44" i="3" s="1"/>
  <c r="J38" i="3"/>
  <c r="V38" i="3" s="1"/>
  <c r="J41" i="3"/>
  <c r="V41" i="3" s="1"/>
  <c r="J26" i="3"/>
  <c r="V26" i="3" s="1"/>
  <c r="J45" i="3"/>
  <c r="V45" i="3" s="1"/>
  <c r="J18" i="3"/>
  <c r="V18" i="3" s="1"/>
  <c r="J16" i="3"/>
  <c r="V16" i="3" s="1"/>
  <c r="J32" i="3"/>
  <c r="V32" i="3" s="1"/>
  <c r="J14" i="3"/>
  <c r="V14" i="3" s="1"/>
  <c r="J46" i="3"/>
  <c r="V46" i="3" s="1"/>
  <c r="J17" i="3"/>
  <c r="V17" i="3" s="1"/>
  <c r="J42" i="3"/>
  <c r="V42" i="3" s="1"/>
  <c r="J21" i="3"/>
  <c r="V21" i="3" s="1"/>
  <c r="J40" i="3"/>
  <c r="V40" i="3" s="1"/>
  <c r="J33" i="3"/>
  <c r="V33" i="3" s="1"/>
  <c r="J20" i="3"/>
  <c r="V20" i="3" s="1"/>
  <c r="J36" i="3"/>
  <c r="J13" i="3"/>
  <c r="V13" i="3" s="1"/>
  <c r="J22" i="3"/>
  <c r="V22" i="3" s="1"/>
  <c r="J25" i="3"/>
  <c r="V25" i="3" s="1"/>
  <c r="J34" i="3"/>
  <c r="V34" i="3" s="1"/>
  <c r="V36" i="3" l="1"/>
  <c r="Z36" i="3"/>
  <c r="AA36" i="3" s="1"/>
  <c r="Z37" i="3"/>
  <c r="AA37" i="3" s="1"/>
  <c r="AB37" i="3" s="1"/>
  <c r="X60" i="3"/>
  <c r="Z60" i="3"/>
  <c r="AA60" i="3" s="1"/>
  <c r="AB60" i="3" s="1"/>
  <c r="X51" i="3"/>
  <c r="Z51" i="3"/>
  <c r="AA51" i="3" s="1"/>
  <c r="AB51" i="3" s="1"/>
  <c r="W57" i="3"/>
  <c r="Z57" i="3"/>
  <c r="AA57" i="3" s="1"/>
  <c r="AB57" i="3" s="1"/>
  <c r="W49" i="3"/>
  <c r="Z49" i="3"/>
  <c r="AA49" i="3" s="1"/>
  <c r="AB49" i="3" s="1"/>
  <c r="Z55" i="3"/>
  <c r="AA55" i="3" s="1"/>
  <c r="AB55" i="3" s="1"/>
  <c r="V62" i="3"/>
  <c r="Z62" i="3"/>
  <c r="AA62" i="3" s="1"/>
  <c r="AB62" i="3" s="1"/>
  <c r="V50" i="3"/>
  <c r="Z50" i="3"/>
  <c r="AA50" i="3" s="1"/>
  <c r="AB50" i="3" s="1"/>
  <c r="W61" i="3"/>
  <c r="Z61" i="3"/>
  <c r="AA61" i="3" s="1"/>
  <c r="AB61" i="3" s="1"/>
  <c r="X48" i="3"/>
  <c r="Z48" i="3"/>
  <c r="AA48" i="3" s="1"/>
  <c r="AB48" i="3" s="1"/>
  <c r="Z59" i="3"/>
  <c r="AA59" i="3" s="1"/>
  <c r="AB59" i="3" s="1"/>
  <c r="V58" i="3"/>
  <c r="Z58" i="3"/>
  <c r="AA58" i="3" s="1"/>
  <c r="AB58" i="3" s="1"/>
  <c r="X56" i="3"/>
  <c r="Z56" i="3"/>
  <c r="AA56" i="3" s="1"/>
  <c r="AB56" i="3" s="1"/>
  <c r="V54" i="3"/>
  <c r="Z54" i="3"/>
  <c r="AA54" i="3" s="1"/>
  <c r="AB54" i="3" s="1"/>
  <c r="Z53" i="3"/>
  <c r="AA53" i="3" s="1"/>
  <c r="AB53" i="3" s="1"/>
  <c r="W12" i="3"/>
  <c r="Z12" i="3"/>
  <c r="AA12" i="3" s="1"/>
  <c r="AB12" i="3" s="1"/>
  <c r="Z42" i="3"/>
  <c r="AA42" i="3" s="1"/>
  <c r="AB42" i="3" s="1"/>
  <c r="Z31" i="3"/>
  <c r="AA31" i="3" s="1"/>
  <c r="AB31" i="3" s="1"/>
  <c r="Z23" i="3"/>
  <c r="AA23" i="3" s="1"/>
  <c r="AB23" i="3" s="1"/>
  <c r="Z43" i="3"/>
  <c r="AA43" i="3" s="1"/>
  <c r="AB43" i="3" s="1"/>
  <c r="Z30" i="3"/>
  <c r="AA30" i="3" s="1"/>
  <c r="AB30" i="3" s="1"/>
  <c r="Z25" i="3"/>
  <c r="AA25" i="3" s="1"/>
  <c r="AB25" i="3" s="1"/>
  <c r="Z21" i="3"/>
  <c r="AA21" i="3" s="1"/>
  <c r="AB21" i="3" s="1"/>
  <c r="Z18" i="3"/>
  <c r="AA18" i="3" s="1"/>
  <c r="AB18" i="3" s="1"/>
  <c r="Z46" i="3"/>
  <c r="AA46" i="3" s="1"/>
  <c r="AB46" i="3" s="1"/>
  <c r="Z14" i="3"/>
  <c r="AA14" i="3" s="1"/>
  <c r="AB14" i="3" s="1"/>
  <c r="Z22" i="3"/>
  <c r="AA22" i="3" s="1"/>
  <c r="AB22" i="3" s="1"/>
  <c r="Z17" i="3"/>
  <c r="AA17" i="3" s="1"/>
  <c r="AB17" i="3" s="1"/>
  <c r="Z40" i="3"/>
  <c r="AA40" i="3" s="1"/>
  <c r="AB40" i="3" s="1"/>
  <c r="Z28" i="3"/>
  <c r="AA28" i="3" s="1"/>
  <c r="AB28" i="3" s="1"/>
  <c r="Z39" i="3"/>
  <c r="AA39" i="3" s="1"/>
  <c r="AB39" i="3" s="1"/>
  <c r="Z47" i="3"/>
  <c r="AA47" i="3" s="1"/>
  <c r="AB47" i="3" s="1"/>
  <c r="Z27" i="3"/>
  <c r="AA27" i="3" s="1"/>
  <c r="AB27" i="3" s="1"/>
  <c r="Z19" i="3"/>
  <c r="AA19" i="3" s="1"/>
  <c r="AB19" i="3" s="1"/>
  <c r="Z15" i="3"/>
  <c r="AA15" i="3" s="1"/>
  <c r="AB15" i="3" s="1"/>
  <c r="Z35" i="3"/>
  <c r="AA35" i="3" s="1"/>
  <c r="AB35" i="3" s="1"/>
  <c r="AB36" i="3"/>
  <c r="Z16" i="3"/>
  <c r="AA16" i="3" s="1"/>
  <c r="AB16" i="3" s="1"/>
  <c r="Z26" i="3"/>
  <c r="AA26" i="3" s="1"/>
  <c r="AB26" i="3" s="1"/>
  <c r="Z24" i="3"/>
  <c r="AA24" i="3" s="1"/>
  <c r="AB24" i="3" s="1"/>
  <c r="Z20" i="3"/>
  <c r="AA20" i="3" s="1"/>
  <c r="AB20" i="3" s="1"/>
  <c r="Z41" i="3"/>
  <c r="AA41" i="3" s="1"/>
  <c r="AB41" i="3" s="1"/>
  <c r="Z32" i="3"/>
  <c r="AA32" i="3" s="1"/>
  <c r="AB32" i="3" s="1"/>
  <c r="Z38" i="3"/>
  <c r="AA38" i="3" s="1"/>
  <c r="AB38" i="3" s="1"/>
  <c r="Z44" i="3"/>
  <c r="AA44" i="3" s="1"/>
  <c r="AB44" i="3" s="1"/>
  <c r="Z34" i="3"/>
  <c r="AA34" i="3" s="1"/>
  <c r="AB34" i="3" s="1"/>
  <c r="Z33" i="3"/>
  <c r="AA33" i="3" s="1"/>
  <c r="AB33" i="3" s="1"/>
  <c r="X29" i="3"/>
  <c r="Z29" i="3"/>
  <c r="AA29" i="3" s="1"/>
  <c r="AB29" i="3" s="1"/>
  <c r="Z13" i="3"/>
  <c r="AA13" i="3" s="1"/>
  <c r="AB13" i="3" s="1"/>
  <c r="X45" i="3"/>
  <c r="Z45" i="3"/>
  <c r="AA45" i="3" s="1"/>
  <c r="AB45" i="3" s="1"/>
  <c r="O34" i="2" l="1"/>
  <c r="O33" i="2"/>
  <c r="O32" i="2"/>
  <c r="O31" i="2"/>
  <c r="O30" i="2"/>
  <c r="O27" i="2"/>
  <c r="O26" i="2"/>
  <c r="O25" i="2"/>
  <c r="O24" i="2"/>
  <c r="O23" i="2"/>
  <c r="O19" i="2"/>
  <c r="O18" i="2"/>
  <c r="O17" i="2"/>
  <c r="O16" i="2"/>
  <c r="O15" i="2"/>
  <c r="F34" i="2"/>
  <c r="F33" i="2"/>
  <c r="F32" i="2"/>
  <c r="F31" i="2"/>
  <c r="F30" i="2"/>
  <c r="F27" i="2"/>
  <c r="F26" i="2"/>
  <c r="F25" i="2"/>
  <c r="F24" i="2"/>
  <c r="F23" i="2"/>
  <c r="F19" i="2"/>
  <c r="F18" i="2"/>
  <c r="F17" i="2"/>
  <c r="F16" i="2"/>
  <c r="F15" i="2"/>
  <c r="N34" i="2"/>
  <c r="N33" i="2"/>
  <c r="N32" i="2"/>
  <c r="N31" i="2"/>
  <c r="N30" i="2"/>
  <c r="N27" i="2"/>
  <c r="N26" i="2"/>
  <c r="N25" i="2"/>
  <c r="N24" i="2"/>
  <c r="N23" i="2"/>
  <c r="N19" i="2"/>
  <c r="N18" i="2"/>
  <c r="N17" i="2"/>
  <c r="N16" i="2"/>
  <c r="N15" i="2"/>
  <c r="E34" i="2"/>
  <c r="E33" i="2"/>
  <c r="E32" i="2"/>
  <c r="E31" i="2"/>
  <c r="E30" i="2"/>
  <c r="E27" i="2"/>
  <c r="E26" i="2"/>
  <c r="E25" i="2"/>
  <c r="E24" i="2"/>
  <c r="E23" i="2"/>
  <c r="E19" i="2"/>
  <c r="E18" i="2"/>
  <c r="E17" i="2"/>
  <c r="E16" i="2"/>
  <c r="E15" i="2"/>
  <c r="D34" i="2"/>
  <c r="D33" i="2"/>
  <c r="D32" i="2"/>
  <c r="D31" i="2"/>
  <c r="D30" i="2"/>
  <c r="D27" i="2"/>
  <c r="D26" i="2"/>
  <c r="D25" i="2"/>
  <c r="D24" i="2"/>
  <c r="D23" i="2"/>
  <c r="D19" i="2"/>
  <c r="D18" i="2"/>
  <c r="D17" i="2"/>
  <c r="D16" i="2"/>
  <c r="D15" i="2"/>
  <c r="I34" i="2"/>
  <c r="I33" i="2"/>
  <c r="I32" i="2"/>
  <c r="I31" i="2"/>
  <c r="I30" i="2"/>
  <c r="I27" i="2"/>
  <c r="I26" i="2"/>
  <c r="I25" i="2"/>
  <c r="I24" i="2"/>
  <c r="I23" i="2"/>
  <c r="I19" i="2"/>
  <c r="I18" i="2"/>
  <c r="I17" i="2"/>
  <c r="I1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Solt Sokoray</author>
  </authors>
  <commentList>
    <comment ref="K6" authorId="0" shapeId="0" xr:uid="{2CBFBC70-36C2-4AC3-91EF-C0E59DD8F8B9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Mole Fraction
</t>
        </r>
      </text>
    </comment>
    <comment ref="L6" authorId="0" shapeId="0" xr:uid="{519CB57D-BBF0-4243-98C7-F1BEE8B110B2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Ratio of the molacular weight to volume
mg/mL
</t>
        </r>
      </text>
    </comment>
    <comment ref="P6" authorId="0" shapeId="0" xr:uid="{244DA0A8-9D15-49E8-BEFE-5AAE2203F92B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Dissolved gas concetration constant
</t>
        </r>
      </text>
    </comment>
    <comment ref="D7" authorId="0" shapeId="0" xr:uid="{BF7A6C3E-6D68-4526-A60A-0E30E7559DAA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Pwv=A*e^(0.0645*T)
A=4.7603 für °C
T-°C</t>
        </r>
      </text>
    </comment>
    <comment ref="G7" authorId="0" shapeId="0" xr:uid="{5C3343FD-067D-496B-B94E-834DFCD899B8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Barometric Pressure
Pbp=10^a
a=2.880814-(h/19748.2)</t>
        </r>
      </text>
    </comment>
    <comment ref="B12" authorId="0" shapeId="0" xr:uid="{8F6D1265-547F-404F-8E14-2633AA3B4953}">
      <text>
        <r>
          <rPr>
            <b/>
            <sz val="9"/>
            <color indexed="81"/>
            <rFont val="Segoe UI"/>
            <family val="2"/>
          </rPr>
          <t>Solt Sokoray:</t>
        </r>
        <r>
          <rPr>
            <sz val="9"/>
            <color indexed="81"/>
            <rFont val="Segoe UI"/>
            <family val="2"/>
          </rPr>
          <t xml:space="preserve">
Measured</t>
        </r>
      </text>
    </comment>
    <comment ref="C12" authorId="0" shapeId="0" xr:uid="{B1172DCE-56C8-43CE-BD31-CF85ABA3F2B4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Partial Pressure of gas in liquid
Pil=(Cmeas/ßi)*Ji
</t>
        </r>
      </text>
    </comment>
    <comment ref="D12" authorId="0" shapeId="0" xr:uid="{98815971-D038-44A4-9F2D-98781928CAD6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Partial Gas Pressure in gas form
Pg=MF(Pbp-Pwv)</t>
        </r>
      </text>
    </comment>
    <comment ref="B16" authorId="0" shapeId="0" xr:uid="{11B7C3F8-E6AA-47E3-A72B-65E0E91EFA06}">
      <text>
        <r>
          <rPr>
            <b/>
            <sz val="9"/>
            <color indexed="81"/>
            <rFont val="Segoe UI"/>
            <family val="2"/>
          </rPr>
          <t>Solt Sokoray:</t>
        </r>
        <r>
          <rPr>
            <sz val="9"/>
            <color indexed="81"/>
            <rFont val="Segoe UI"/>
            <family val="2"/>
          </rPr>
          <t xml:space="preserve">
Measured</t>
        </r>
      </text>
    </comment>
    <comment ref="C16" authorId="0" shapeId="0" xr:uid="{0D90D217-D669-413E-A1A5-0ECC00792657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Partial Pressure of gas in liquid
Pil=(Cmeas/ßi)*Ji
</t>
        </r>
      </text>
    </comment>
    <comment ref="D16" authorId="0" shapeId="0" xr:uid="{FF1404BC-053A-4B77-A40D-D450388DBCF1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Partial Gas Pressure in gas form
Pg=MF(Pbp-Pwv)</t>
        </r>
      </text>
    </comment>
    <comment ref="B20" authorId="0" shapeId="0" xr:uid="{56335AAB-F519-476A-B5FF-421B7EFAE745}">
      <text>
        <r>
          <rPr>
            <b/>
            <sz val="9"/>
            <color indexed="81"/>
            <rFont val="Segoe UI"/>
            <family val="2"/>
          </rPr>
          <t>Solt Sokoray:</t>
        </r>
        <r>
          <rPr>
            <sz val="9"/>
            <color indexed="81"/>
            <rFont val="Segoe UI"/>
            <family val="2"/>
          </rPr>
          <t xml:space="preserve">
Measured</t>
        </r>
      </text>
    </comment>
    <comment ref="C20" authorId="0" shapeId="0" xr:uid="{FC9CE392-2EE7-4059-8B9E-BE138F7429A1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Partial Pressure of gas in liquid
Pil=(Cmeas/ßi)*Ji
</t>
        </r>
      </text>
    </comment>
    <comment ref="D20" authorId="0" shapeId="0" xr:uid="{5160A90D-DD22-4AE8-8D46-CC72DF14E647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Partial Gas Pressure in gas form
Pg=MF(Pbp-Pwv)</t>
        </r>
      </text>
    </comment>
    <comment ref="B24" authorId="0" shapeId="0" xr:uid="{1C097948-3042-4571-A44C-CDC654C921CC}">
      <text>
        <r>
          <rPr>
            <b/>
            <sz val="9"/>
            <color indexed="81"/>
            <rFont val="Segoe UI"/>
            <family val="2"/>
          </rPr>
          <t>Solt Sokoray:</t>
        </r>
        <r>
          <rPr>
            <sz val="9"/>
            <color indexed="81"/>
            <rFont val="Segoe UI"/>
            <family val="2"/>
          </rPr>
          <t xml:space="preserve">
TGP sat%
Ptg%=(Ptg/Pbp)*100</t>
        </r>
      </text>
    </comment>
    <comment ref="C24" authorId="0" shapeId="0" xr:uid="{90DEDF91-AA17-4AC5-8C6C-4A445E3E95E5}">
      <text>
        <r>
          <rPr>
            <b/>
            <sz val="9"/>
            <color indexed="81"/>
            <rFont val="Segoe UI"/>
            <family val="2"/>
          </rPr>
          <t>Solt Sokoray:</t>
        </r>
        <r>
          <rPr>
            <sz val="9"/>
            <color indexed="81"/>
            <rFont val="Segoe UI"/>
            <family val="2"/>
          </rPr>
          <t xml:space="preserve">
Ptg=(Ptgsat%/100)*Pbp
Ptg=PilO2+PilCO2+PilN2+Pwv
</t>
        </r>
      </text>
    </comment>
    <comment ref="H28" authorId="0" shapeId="0" xr:uid="{A018CACB-7F0D-44CD-8EBD-673C0E43CF5E}">
      <text>
        <r>
          <rPr>
            <b/>
            <sz val="9"/>
            <color indexed="81"/>
            <rFont val="Segoe UI"/>
            <family val="2"/>
          </rPr>
          <t>Solt Sokoray:</t>
        </r>
        <r>
          <rPr>
            <sz val="9"/>
            <color indexed="81"/>
            <rFont val="Segoe UI"/>
            <family val="2"/>
          </rPr>
          <t xml:space="preserve">
French way</t>
        </r>
      </text>
    </comment>
    <comment ref="H32" authorId="0" shapeId="0" xr:uid="{262F6049-54C5-46AD-89BB-C1BA68FC1D08}">
      <text>
        <r>
          <rPr>
            <b/>
            <sz val="9"/>
            <color indexed="81"/>
            <rFont val="Segoe UI"/>
            <family val="2"/>
          </rPr>
          <t>Solt Sokoray:</t>
        </r>
        <r>
          <rPr>
            <sz val="9"/>
            <color indexed="81"/>
            <rFont val="Segoe UI"/>
            <family val="2"/>
          </rPr>
          <t xml:space="preserve">
French way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Solt Sokoray</author>
  </authors>
  <commentList>
    <comment ref="N2" authorId="0" shapeId="0" xr:uid="{55F97288-1CE5-413B-8869-FF3EC4822D4B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mesaured concentration level in mg/L
</t>
        </r>
      </text>
    </comment>
    <comment ref="O2" authorId="0" shapeId="0" xr:uid="{4FE8ED8D-54EA-4A39-A42F-376477206C2A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mesaured concentration level in mg/L
</t>
        </r>
      </text>
    </comment>
    <comment ref="R2" authorId="0" shapeId="0" xr:uid="{4E44CBDB-B55C-44AD-B06E-2340CE255A16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Barometric Pressure
</t>
        </r>
      </text>
    </comment>
    <comment ref="C3" authorId="0" shapeId="0" xr:uid="{440A22BB-155D-473C-B4C1-5AB673728CB6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Mole Fraction
</t>
        </r>
      </text>
    </comment>
    <comment ref="D3" authorId="0" shapeId="0" xr:uid="{7254DFF0-84BC-4B5E-AF1A-530338F7D6AF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Ratio of the molacular weight to volume
mg/mL
</t>
        </r>
      </text>
    </comment>
    <comment ref="I3" authorId="0" shapeId="0" xr:uid="{8190AE56-D429-429F-A603-D9C1A9912A4F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Dissolved gas concetration constant
</t>
        </r>
      </text>
    </comment>
    <comment ref="J9" authorId="0" shapeId="0" xr:uid="{99DC41F1-C56E-48A7-A90B-56CEC4CB56EB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Partial Pressure of gas in liquid
Pil=(Cmeas/ßi)*Ji
</t>
        </r>
      </text>
    </comment>
    <comment ref="N9" authorId="0" shapeId="0" xr:uid="{A19658C5-5C01-420A-9616-EA55C9958C9C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Concentration 100% - mg/L
C=1000*Ki*ßi*Mf*(Pbp-Pwv)/760</t>
        </r>
      </text>
    </comment>
    <comment ref="R9" authorId="0" shapeId="0" xr:uid="{6F5EB851-1815-479B-A4DF-54F21CE54BDB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Partial Gas Pressure in gas form
Pg=MF(Pbp-Pwv)</t>
        </r>
      </text>
    </comment>
    <comment ref="V9" authorId="0" shapeId="0" xr:uid="{E0A1D71C-BA1A-45FD-917A-C0098A7BF3ED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Saturation
S%=(Pl/Pg)*100</t>
        </r>
      </text>
    </comment>
    <comment ref="Z9" authorId="0" shapeId="0" xr:uid="{DA61EC56-654B-49A4-895F-61A43578B9A1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Ptg=PilO2+PilN2+PilCO2+Pwv</t>
        </r>
      </text>
    </comment>
    <comment ref="AA9" authorId="0" shapeId="0" xr:uid="{3681E410-F18F-471E-894C-4623B4E03878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Ptg%=(Ptg/Pbp)*100
</t>
        </r>
      </text>
    </comment>
    <comment ref="E10" authorId="0" shapeId="0" xr:uid="{D0D57BFD-04DC-4732-A922-DB204CB15C3F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water vapor pressure
</t>
        </r>
      </text>
    </comment>
    <comment ref="F11" authorId="0" shapeId="0" xr:uid="{9C094467-8ED7-4524-9E34-D3290B7CD8DD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Bunsen coefficient
</t>
        </r>
      </text>
    </comment>
    <comment ref="G11" authorId="0" shapeId="0" xr:uid="{14C0B5B6-6ACB-46BC-8D1F-892068FCCAE4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Bunsen coefficient
</t>
        </r>
      </text>
    </comment>
    <comment ref="H11" authorId="0" shapeId="0" xr:uid="{72E1915D-4C4B-4399-843A-BA64707EB989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Bunsen coefficient
</t>
        </r>
      </text>
    </comment>
    <comment ref="I11" authorId="0" shapeId="0" xr:uid="{3C58A06A-9F45-4DEB-9E80-2BEB4F69EF9F}">
      <text>
        <r>
          <rPr>
            <b/>
            <sz val="9"/>
            <color indexed="81"/>
            <rFont val="Segoe UI"/>
            <charset val="1"/>
          </rPr>
          <t>Solt Sokoray:</t>
        </r>
        <r>
          <rPr>
            <sz val="9"/>
            <color indexed="81"/>
            <rFont val="Segoe UI"/>
            <charset val="1"/>
          </rPr>
          <t xml:space="preserve">
Bunsen coefficient
</t>
        </r>
      </text>
    </comment>
  </commentList>
</comments>
</file>

<file path=xl/sharedStrings.xml><?xml version="1.0" encoding="utf-8"?>
<sst xmlns="http://schemas.openxmlformats.org/spreadsheetml/2006/main" count="191" uniqueCount="79">
  <si>
    <r>
      <t>%</t>
    </r>
    <r>
      <rPr>
        <vertAlign val="subscript"/>
        <sz val="10"/>
        <color theme="1"/>
        <rFont val="Calibri"/>
        <family val="2"/>
        <scheme val="minor"/>
      </rPr>
      <t>sat.</t>
    </r>
    <r>
      <rPr>
        <sz val="10"/>
        <color theme="1"/>
        <rFont val="Calibri"/>
        <family val="2"/>
        <scheme val="minor"/>
      </rPr>
      <t>N2 = [%</t>
    </r>
    <r>
      <rPr>
        <vertAlign val="subscript"/>
        <sz val="10"/>
        <color theme="1"/>
        <rFont val="Calibri"/>
        <family val="2"/>
        <scheme val="minor"/>
      </rPr>
      <t>sat.</t>
    </r>
    <r>
      <rPr>
        <sz val="10"/>
        <color theme="1"/>
        <rFont val="Calibri"/>
        <family val="2"/>
        <scheme val="minor"/>
      </rPr>
      <t>Total gas – (20,946*%</t>
    </r>
    <r>
      <rPr>
        <vertAlign val="subscript"/>
        <sz val="10"/>
        <color theme="1"/>
        <rFont val="Calibri"/>
        <family val="2"/>
        <scheme val="minor"/>
      </rPr>
      <t>sat.</t>
    </r>
    <r>
      <rPr>
        <sz val="10"/>
        <color theme="1"/>
        <rFont val="Calibri"/>
        <family val="2"/>
        <scheme val="minor"/>
      </rPr>
      <t>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)/100]*100/79,054</t>
    </r>
  </si>
  <si>
    <r>
      <t>Knowing that in Total gas you have: 20,946%O2 and 78,09%N2. The reste is composed of: Argon (0.93%) and 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 (0.03%).</t>
    </r>
  </si>
  <si>
    <t>sat. TGP</t>
  </si>
  <si>
    <t>%</t>
  </si>
  <si>
    <t>Sat. N2</t>
  </si>
  <si>
    <t>ln X1 = A + B/T* + C ln T*</t>
  </si>
  <si>
    <t>T* = T/100 K</t>
  </si>
  <si>
    <t>T/K</t>
  </si>
  <si>
    <t>Solubility (X1 )</t>
  </si>
  <si>
    <t>Equation constants</t>
  </si>
  <si>
    <t>O2</t>
  </si>
  <si>
    <t>Temp. range = 273.15—348.15</t>
  </si>
  <si>
    <t>Mr = 31.9988</t>
  </si>
  <si>
    <t>N2</t>
  </si>
  <si>
    <t>Mr = 28.0134</t>
  </si>
  <si>
    <t>CO2</t>
  </si>
  <si>
    <t>Mr = 44.0098</t>
  </si>
  <si>
    <t>Law Constant Equation</t>
  </si>
  <si>
    <t>Derived from Henry’s</t>
  </si>
  <si>
    <t>A</t>
  </si>
  <si>
    <t>B</t>
  </si>
  <si>
    <t>C</t>
  </si>
  <si>
    <t>Std. dev.</t>
  </si>
  <si>
    <t>±0.36%</t>
  </si>
  <si>
    <t xml:space="preserve"> ±0.72%</t>
  </si>
  <si>
    <t>±1.1%</t>
  </si>
  <si>
    <t>°C</t>
  </si>
  <si>
    <t>LN X1</t>
  </si>
  <si>
    <t>LN T/100</t>
  </si>
  <si>
    <t>Pil</t>
  </si>
  <si>
    <t>mm Hg</t>
  </si>
  <si>
    <t>Cmeas</t>
  </si>
  <si>
    <t>mg/L</t>
  </si>
  <si>
    <t>Ji</t>
  </si>
  <si>
    <t>ßi</t>
  </si>
  <si>
    <t>Pwv</t>
  </si>
  <si>
    <t>T</t>
  </si>
  <si>
    <t>A0</t>
  </si>
  <si>
    <t>Ki</t>
  </si>
  <si>
    <t>A1</t>
  </si>
  <si>
    <t>A2</t>
  </si>
  <si>
    <t>A3</t>
  </si>
  <si>
    <t>Mf</t>
  </si>
  <si>
    <t>Kelvin</t>
  </si>
  <si>
    <t>Pbp</t>
  </si>
  <si>
    <t>Höche</t>
  </si>
  <si>
    <t>Pg</t>
  </si>
  <si>
    <t>S</t>
  </si>
  <si>
    <t>Ptg</t>
  </si>
  <si>
    <t>Calculated</t>
  </si>
  <si>
    <t>Ptg meas</t>
  </si>
  <si>
    <t>Ptg res</t>
  </si>
  <si>
    <t>Tepmerature</t>
  </si>
  <si>
    <t>Erstfeld</t>
  </si>
  <si>
    <t>Sat</t>
  </si>
  <si>
    <t>m</t>
  </si>
  <si>
    <t>Koeffizienten tabelle</t>
  </si>
  <si>
    <t>Pil CO2</t>
  </si>
  <si>
    <t>K</t>
  </si>
  <si>
    <t>Pg CO2</t>
  </si>
  <si>
    <t>Sat%</t>
  </si>
  <si>
    <t>Pg O2</t>
  </si>
  <si>
    <t>Pil O2</t>
  </si>
  <si>
    <t>O2 Sat</t>
  </si>
  <si>
    <t xml:space="preserve">Ptg </t>
  </si>
  <si>
    <t>Pil N2</t>
  </si>
  <si>
    <t>Pg N2</t>
  </si>
  <si>
    <t>Mit O2 mg/L</t>
  </si>
  <si>
    <t>Mit O2 sat%</t>
  </si>
  <si>
    <t>Sat 100%</t>
  </si>
  <si>
    <t>C - 100% sat</t>
  </si>
  <si>
    <t>Ar</t>
  </si>
  <si>
    <t>sweetwater</t>
  </si>
  <si>
    <t>saltwater</t>
  </si>
  <si>
    <t>ln(β)=exp(A1 + A2*(T/100) + A3*ln(T/100) + A4*(T/100) + S*(B1 + B2*(T/100) + B3*(T/100)^2</t>
  </si>
  <si>
    <t>B1</t>
  </si>
  <si>
    <t>B2</t>
  </si>
  <si>
    <t>B3</t>
  </si>
  <si>
    <t>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</si>
</sst>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1"/>
      <color rgb="FF3F3F3F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1"/>
      <color theme="1"/>
      <name val="Calibri"/>
      <family val="2"/>
      <scheme val="minor"/>
    </font>
    <font>
      <sz val="10"/>
      <color rgb="FF05050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2" borderId="1" applyNumberFormat="0" applyAlignment="0" applyProtection="0"/>
    <xf numFmtId="0" fontId="4" fillId="3" borderId="1" applyNumberFormat="0" applyAlignment="0" applyProtection="0"/>
    <xf numFmtId="0" fontId="7" fillId="3" borderId="13" applyNumberFormat="0" applyAlignment="0" applyProtection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2" borderId="1" xfId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4" borderId="0" xfId="0" applyFill="1"/>
    <xf numFmtId="0" fontId="0" fillId="4" borderId="5" xfId="0" applyFill="1" applyBorder="1"/>
    <xf numFmtId="0" fontId="0" fillId="4" borderId="6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4" borderId="11" xfId="0" applyFill="1" applyBorder="1"/>
    <xf numFmtId="0" fontId="4" fillId="3" borderId="1" xfId="2"/>
    <xf numFmtId="0" fontId="7" fillId="3" borderId="13" xfId="3"/>
    <xf numFmtId="0" fontId="0" fillId="0" borderId="14" xfId="0" applyBorder="1"/>
    <xf numFmtId="0" fontId="0" fillId="0" borderId="18" xfId="0" applyBorder="1"/>
    <xf numFmtId="0" fontId="11" fillId="0" borderId="0" xfId="0" applyFont="1"/>
    <xf numFmtId="0" fontId="0" fillId="0" borderId="15" xfId="0" applyBorder="1"/>
    <xf numFmtId="0" fontId="4" fillId="3" borderId="14" xfId="2" applyBorder="1"/>
    <xf numFmtId="0" fontId="0" fillId="0" borderId="19" xfId="0" applyBorder="1"/>
    <xf numFmtId="0" fontId="0" fillId="0" borderId="20" xfId="0" applyBorder="1"/>
    <xf numFmtId="0" fontId="4" fillId="3" borderId="20" xfId="2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4" fillId="3" borderId="18" xfId="2" applyBorder="1"/>
    <xf numFmtId="0" fontId="0" fillId="0" borderId="25" xfId="0" applyBorder="1"/>
    <xf numFmtId="0" fontId="0" fillId="0" borderId="0" xfId="0" applyAlignment="1">
      <alignment horizontal="center"/>
    </xf>
    <xf numFmtId="0" fontId="10" fillId="5" borderId="15" xfId="0" applyFont="1" applyFill="1" applyBorder="1" applyAlignment="1">
      <alignment horizontal="center"/>
    </xf>
    <xf numFmtId="0" fontId="10" fillId="5" borderId="16" xfId="0" applyFont="1" applyFill="1" applyBorder="1" applyAlignment="1">
      <alignment horizontal="center"/>
    </xf>
    <xf numFmtId="0" fontId="10" fillId="5" borderId="17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">
    <cellStyle name="Ausgabe" xfId="3" builtinId="21"/>
    <cellStyle name="Berechnung" xfId="2" builtinId="22"/>
    <cellStyle name="Eingabe" xfId="1" builtinId="20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762000</xdr:colOff>
      <xdr:row>40</xdr:row>
      <xdr:rowOff>57150</xdr:rowOff>
    </xdr:from>
    <xdr:to>
      <xdr:col>8</xdr:col>
      <xdr:colOff>227859</xdr:colOff>
      <xdr:row>52</xdr:row>
      <xdr:rowOff>190198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4A54C6E-5441-41CA-82F0-DC895F1871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7305675"/>
          <a:ext cx="5923809" cy="2419048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476250</xdr:colOff>
      <xdr:row>38</xdr:row>
      <xdr:rowOff>142875</xdr:rowOff>
    </xdr:from>
    <xdr:to>
      <xdr:col>16</xdr:col>
      <xdr:colOff>685376</xdr:colOff>
      <xdr:row>52</xdr:row>
      <xdr:rowOff>152065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C0DE7B2-C6DE-4F6D-B614-29249136A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58200" y="7010400"/>
          <a:ext cx="3390476" cy="2676190"/>
        </a:xfrm>
        <a:prstGeom prst="rect">
          <a:avLst/>
        </a:prstGeom>
      </xdr:spPr>
    </xdr:pic>
    <xdr:clientData/>
  </xdr:twoCellAnchor>
  <xdr:twoCellAnchor editAs="oneCell">
    <xdr:from>
      <xdr:col>9</xdr:col>
      <xdr:colOff>600075</xdr:colOff>
      <xdr:row>11</xdr:row>
      <xdr:rowOff>171450</xdr:rowOff>
    </xdr:from>
    <xdr:to>
      <xdr:col>23</xdr:col>
      <xdr:colOff>170339</xdr:colOff>
      <xdr:row>41</xdr:row>
      <xdr:rowOff>180305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8C853747-511D-4771-856F-3BCD8AF3F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20025" y="2257425"/>
          <a:ext cx="8885714" cy="53619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152400</xdr:colOff>
      <xdr:row>38</xdr:row>
      <xdr:rowOff>19050</xdr:rowOff>
    </xdr:from>
    <xdr:to>
      <xdr:col>20</xdr:col>
      <xdr:colOff>237014</xdr:colOff>
      <xdr:row>66</xdr:row>
      <xdr:rowOff>37430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CB27A35D-65FE-432B-91E6-8E350C7D2B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00" y="7305675"/>
          <a:ext cx="8885714" cy="53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2FB8F-328A-4C0B-8D1A-9CC126DAA301}">
  <dimension ref="A1:T40"/>
  <sheetViews>
    <sheetView workbookViewId="0">
      <selection activeCell="I35" sqref="I35"/>
    </sheetView>
  </sheetViews>
  <sheetFormatPr baseColWidth="10" defaultRowHeight="15" x14ac:dyDescent="0.25"/>
  <cols>
    <col min="1" max="1" width="11.7109375" bestFit="1" customWidth="1"/>
    <col min="2" max="2" width="11.28515625" bestFit="1" customWidth="1"/>
    <col min="3" max="3" width="15" customWidth="1"/>
    <col min="4" max="4" width="13.140625" customWidth="1"/>
    <col min="11" max="12" width="8" bestFit="1" customWidth="1"/>
    <col min="13" max="13" width="8.7109375" bestFit="1" customWidth="1"/>
    <col min="14" max="15" width="8" bestFit="1" customWidth="1"/>
    <col min="16" max="16" width="7" bestFit="1" customWidth="1"/>
    <col min="17" max="17" width="12" bestFit="1" customWidth="1"/>
  </cols>
  <sheetData>
    <row r="1" spans="1:20" ht="15.75" thickBot="1" x14ac:dyDescent="0.3"/>
    <row r="2" spans="1:20" ht="15.75" thickBot="1" x14ac:dyDescent="0.3">
      <c r="A2" s="35" t="s">
        <v>72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7"/>
    </row>
    <row r="4" spans="1:20" ht="15.75" thickBot="1" x14ac:dyDescent="0.3"/>
    <row r="5" spans="1:20" ht="15.75" thickBot="1" x14ac:dyDescent="0.3">
      <c r="J5" s="38" t="s">
        <v>56</v>
      </c>
      <c r="K5" s="39"/>
      <c r="L5" s="39"/>
      <c r="M5" s="39"/>
      <c r="N5" s="39"/>
      <c r="O5" s="39"/>
      <c r="P5" s="39"/>
      <c r="Q5" s="40"/>
      <c r="R5" s="40"/>
      <c r="S5" s="40"/>
      <c r="T5" s="41"/>
    </row>
    <row r="6" spans="1:20" ht="15.75" thickBot="1" x14ac:dyDescent="0.3">
      <c r="J6" s="6"/>
      <c r="K6" s="15" t="s">
        <v>42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33</v>
      </c>
      <c r="Q6" s="14" t="s">
        <v>34</v>
      </c>
      <c r="R6" s="15" t="s">
        <v>75</v>
      </c>
      <c r="S6" s="15" t="s">
        <v>76</v>
      </c>
      <c r="T6" s="15" t="s">
        <v>77</v>
      </c>
    </row>
    <row r="7" spans="1:20" ht="15.75" thickBot="1" x14ac:dyDescent="0.3">
      <c r="B7" s="34" t="s">
        <v>52</v>
      </c>
      <c r="C7" s="34"/>
      <c r="D7" t="s">
        <v>35</v>
      </c>
      <c r="F7" t="s">
        <v>45</v>
      </c>
      <c r="G7" t="s">
        <v>44</v>
      </c>
      <c r="J7" s="23" t="s">
        <v>10</v>
      </c>
      <c r="K7" s="25">
        <v>0.20946000000000001</v>
      </c>
      <c r="L7" s="26">
        <v>1.42903</v>
      </c>
      <c r="M7" s="26">
        <v>-58.387700000000002</v>
      </c>
      <c r="N7" s="26">
        <v>85.807900000000004</v>
      </c>
      <c r="O7" s="26">
        <v>23.843900000000001</v>
      </c>
      <c r="P7" s="26">
        <v>0.53180000000000005</v>
      </c>
      <c r="Q7" s="27">
        <f>EXP(M7+N7*(100/C9)+O7*LN(C9/100))</f>
        <v>2.844222652012731E-2</v>
      </c>
      <c r="R7" s="26">
        <v>-3.4891999999999999E-2</v>
      </c>
      <c r="S7" s="26">
        <v>1.5568E-2</v>
      </c>
      <c r="T7" s="28">
        <v>-1.9387E-3</v>
      </c>
    </row>
    <row r="8" spans="1:20" ht="15.75" thickBot="1" x14ac:dyDescent="0.3">
      <c r="B8" t="s">
        <v>26</v>
      </c>
      <c r="C8" t="s">
        <v>58</v>
      </c>
      <c r="D8" t="s">
        <v>30</v>
      </c>
      <c r="F8" t="s">
        <v>55</v>
      </c>
      <c r="G8" t="s">
        <v>30</v>
      </c>
      <c r="J8" s="23" t="s">
        <v>13</v>
      </c>
      <c r="K8" s="29">
        <v>0.78083999999999998</v>
      </c>
      <c r="L8" s="20">
        <v>1.2504299999999999</v>
      </c>
      <c r="M8" s="20">
        <v>-59.627400000000002</v>
      </c>
      <c r="N8" s="20">
        <v>85.7761</v>
      </c>
      <c r="O8" s="20">
        <v>24.369599999999998</v>
      </c>
      <c r="P8" s="20">
        <v>0.60780000000000001</v>
      </c>
      <c r="Q8" s="24">
        <f>EXP(M8+N8*(100/C9)+O8*LN(C9/100))</f>
        <v>1.446595191672786E-2</v>
      </c>
      <c r="R8" s="20">
        <v>-5.1580000000000001E-2</v>
      </c>
      <c r="S8" s="20">
        <v>2.6329000000000002E-2</v>
      </c>
      <c r="T8" s="30">
        <v>-3.7252000000000001E-3</v>
      </c>
    </row>
    <row r="9" spans="1:20" ht="15.75" thickBot="1" x14ac:dyDescent="0.3">
      <c r="B9" s="2">
        <v>25</v>
      </c>
      <c r="C9" s="18">
        <f>B9+273.15</f>
        <v>298.14999999999998</v>
      </c>
      <c r="D9" s="19">
        <f>4.7603*EXP(0.0645*B9)</f>
        <v>23.874493977139721</v>
      </c>
      <c r="F9" s="2">
        <v>228.6</v>
      </c>
      <c r="G9" s="19">
        <f>10^(2.880814-(F9/19748.2))</f>
        <v>740.01114660668952</v>
      </c>
      <c r="J9" s="23" t="s">
        <v>15</v>
      </c>
      <c r="K9" s="29">
        <v>3.2000000000000003E-4</v>
      </c>
      <c r="L9" s="20">
        <v>1.97681</v>
      </c>
      <c r="M9" s="20">
        <v>-58.0931</v>
      </c>
      <c r="N9" s="20">
        <v>90.506900000000002</v>
      </c>
      <c r="O9" s="20">
        <v>22.294</v>
      </c>
      <c r="P9" s="20">
        <v>0.38450000000000001</v>
      </c>
      <c r="Q9" s="24">
        <f>(EXP(M9+N9*(100/C9)+O9*LN(C9/100)))*22.263</f>
        <v>0.75619663556741901</v>
      </c>
      <c r="R9" s="20">
        <v>2.9940999999999999E-2</v>
      </c>
      <c r="S9" s="20">
        <v>-2.7455E-2</v>
      </c>
      <c r="T9" s="30">
        <v>5.3407000000000003E-3</v>
      </c>
    </row>
    <row r="10" spans="1:20" ht="15.75" thickBot="1" x14ac:dyDescent="0.3">
      <c r="E10" t="s">
        <v>53</v>
      </c>
      <c r="F10">
        <v>475</v>
      </c>
      <c r="J10" s="23" t="s">
        <v>71</v>
      </c>
      <c r="K10" s="31">
        <v>9.3399999999999993E-3</v>
      </c>
      <c r="L10" s="21"/>
      <c r="M10" s="21">
        <v>-55.657800000000002</v>
      </c>
      <c r="N10" s="21">
        <v>82.026200000000003</v>
      </c>
      <c r="O10" s="21">
        <v>22.5929</v>
      </c>
      <c r="P10" s="21"/>
      <c r="Q10" s="32">
        <f>(EXP(M10+N10*(100/C9)+O10*LN(C9/100)))</f>
        <v>3.1273181419115149E-2</v>
      </c>
      <c r="R10" s="21">
        <v>-3.6267000000000001E-2</v>
      </c>
      <c r="S10" s="21">
        <v>1.6240999999999998E-2</v>
      </c>
      <c r="T10" s="33">
        <v>-2.0114E-3</v>
      </c>
    </row>
    <row r="11" spans="1:20" ht="7.5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20" x14ac:dyDescent="0.25">
      <c r="B12" t="s">
        <v>15</v>
      </c>
      <c r="C12" t="s">
        <v>57</v>
      </c>
      <c r="D12" t="s">
        <v>59</v>
      </c>
      <c r="E12" t="s">
        <v>54</v>
      </c>
    </row>
    <row r="13" spans="1:20" x14ac:dyDescent="0.25">
      <c r="B13" t="s">
        <v>32</v>
      </c>
      <c r="C13" t="s">
        <v>30</v>
      </c>
      <c r="D13" t="s">
        <v>30</v>
      </c>
      <c r="E13" t="s">
        <v>3</v>
      </c>
    </row>
    <row r="14" spans="1:20" x14ac:dyDescent="0.25">
      <c r="B14" s="2">
        <v>0.08</v>
      </c>
      <c r="C14" s="18">
        <f>(B14/Q9)*P9</f>
        <v>4.0677250536719139E-2</v>
      </c>
      <c r="D14" s="18">
        <f>K9*(G9-D9)</f>
        <v>0.22916372884145594</v>
      </c>
      <c r="E14" s="19">
        <f>(C14/D14)*100</f>
        <v>17.750300513246223</v>
      </c>
    </row>
    <row r="15" spans="1:20" ht="7.5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1:20" x14ac:dyDescent="0.25">
      <c r="B16" t="s">
        <v>10</v>
      </c>
      <c r="C16" t="s">
        <v>62</v>
      </c>
      <c r="D16" t="s">
        <v>61</v>
      </c>
      <c r="E16" t="s">
        <v>63</v>
      </c>
    </row>
    <row r="17" spans="1:17" x14ac:dyDescent="0.25">
      <c r="B17" t="s">
        <v>32</v>
      </c>
      <c r="C17" t="s">
        <v>30</v>
      </c>
      <c r="D17" t="s">
        <v>30</v>
      </c>
      <c r="E17" t="s">
        <v>3</v>
      </c>
    </row>
    <row r="18" spans="1:17" x14ac:dyDescent="0.25">
      <c r="B18" s="2">
        <v>6</v>
      </c>
      <c r="C18" s="18">
        <f>(B18/Q7)*P7</f>
        <v>112.18531002634452</v>
      </c>
      <c r="D18" s="18">
        <f>K7*(G9-D9)</f>
        <v>150.0019832597855</v>
      </c>
      <c r="E18" s="19">
        <f>(C18/D18)*100</f>
        <v>74.789217841242134</v>
      </c>
    </row>
    <row r="20" spans="1:17" x14ac:dyDescent="0.25">
      <c r="B20" t="s">
        <v>10</v>
      </c>
      <c r="C20" t="s">
        <v>62</v>
      </c>
      <c r="D20" t="s">
        <v>61</v>
      </c>
      <c r="E20" t="s">
        <v>10</v>
      </c>
    </row>
    <row r="21" spans="1:17" x14ac:dyDescent="0.25">
      <c r="B21" t="s">
        <v>60</v>
      </c>
      <c r="C21" t="s">
        <v>30</v>
      </c>
      <c r="D21" t="s">
        <v>30</v>
      </c>
      <c r="E21" t="s">
        <v>32</v>
      </c>
    </row>
    <row r="22" spans="1:17" x14ac:dyDescent="0.25">
      <c r="B22" s="2">
        <v>74.789217800000003</v>
      </c>
      <c r="C22" s="18">
        <f>(B22/100)*D22</f>
        <v>112.18530996448054</v>
      </c>
      <c r="D22" s="18">
        <f>K7*(G9-D9)</f>
        <v>150.0019832597855</v>
      </c>
      <c r="E22" s="19">
        <f>(C22/P7)*Q7</f>
        <v>5.999999996691332</v>
      </c>
    </row>
    <row r="23" spans="1:17" ht="7.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 x14ac:dyDescent="0.25">
      <c r="B24" t="s">
        <v>2</v>
      </c>
      <c r="C24" t="s">
        <v>64</v>
      </c>
    </row>
    <row r="25" spans="1:17" x14ac:dyDescent="0.25">
      <c r="B25" t="s">
        <v>3</v>
      </c>
      <c r="C25" t="s">
        <v>30</v>
      </c>
    </row>
    <row r="26" spans="1:17" x14ac:dyDescent="0.25">
      <c r="B26" s="2">
        <v>99.6</v>
      </c>
      <c r="C26" s="18">
        <f>(B26/100)*G9</f>
        <v>737.05110202026276</v>
      </c>
    </row>
    <row r="27" spans="1:17" ht="7.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1:17" x14ac:dyDescent="0.25">
      <c r="A28" t="s">
        <v>67</v>
      </c>
      <c r="B28" t="s">
        <v>13</v>
      </c>
      <c r="C28" t="s">
        <v>65</v>
      </c>
      <c r="D28" t="s">
        <v>66</v>
      </c>
      <c r="E28" t="s">
        <v>13</v>
      </c>
      <c r="F28" t="s">
        <v>13</v>
      </c>
      <c r="H28" t="s">
        <v>13</v>
      </c>
    </row>
    <row r="29" spans="1:17" x14ac:dyDescent="0.25">
      <c r="B29" t="s">
        <v>60</v>
      </c>
      <c r="C29" t="s">
        <v>30</v>
      </c>
      <c r="D29" t="s">
        <v>30</v>
      </c>
      <c r="E29" t="s">
        <v>32</v>
      </c>
      <c r="F29" t="s">
        <v>69</v>
      </c>
      <c r="H29" t="s">
        <v>60</v>
      </c>
    </row>
    <row r="30" spans="1:17" x14ac:dyDescent="0.25">
      <c r="B30" s="18">
        <f>(C30/D30)*100</f>
        <v>107.46841244527336</v>
      </c>
      <c r="C30" s="18">
        <f>C26-(C18+C14+D9)</f>
        <v>600.95062076624185</v>
      </c>
      <c r="D30" s="18">
        <f>K8*(G9-D9)</f>
        <v>559.18814383925758</v>
      </c>
      <c r="E30" s="19">
        <f>(C30/P8)*Q8</f>
        <v>14.302933175933223</v>
      </c>
      <c r="F30" s="18">
        <f>1000*L8*Q8*K8*((G9-D9)/760)</f>
        <v>13.309163621925343</v>
      </c>
      <c r="H30" s="18">
        <f>(B26-(20.946*E18)/100)*100/79.054</f>
        <v>106.17381844179094</v>
      </c>
      <c r="I30">
        <f>B30-H30</f>
        <v>1.2945940034824162</v>
      </c>
      <c r="J30" s="1" t="s">
        <v>0</v>
      </c>
    </row>
    <row r="31" spans="1:17" x14ac:dyDescent="0.25">
      <c r="J31" s="1" t="s">
        <v>1</v>
      </c>
    </row>
    <row r="32" spans="1:17" x14ac:dyDescent="0.25">
      <c r="A32" t="s">
        <v>68</v>
      </c>
      <c r="B32" t="s">
        <v>4</v>
      </c>
      <c r="C32" t="s">
        <v>65</v>
      </c>
      <c r="D32" t="s">
        <v>66</v>
      </c>
      <c r="E32" t="s">
        <v>13</v>
      </c>
      <c r="F32" t="s">
        <v>13</v>
      </c>
      <c r="H32" t="s">
        <v>13</v>
      </c>
    </row>
    <row r="33" spans="1:17" x14ac:dyDescent="0.25">
      <c r="B33" t="s">
        <v>60</v>
      </c>
      <c r="C33" t="s">
        <v>30</v>
      </c>
      <c r="D33" t="s">
        <v>30</v>
      </c>
      <c r="E33" t="s">
        <v>32</v>
      </c>
      <c r="F33" t="s">
        <v>69</v>
      </c>
      <c r="H33" t="s">
        <v>60</v>
      </c>
    </row>
    <row r="34" spans="1:17" x14ac:dyDescent="0.25">
      <c r="B34" s="18">
        <f>(C34/D34)*100</f>
        <v>107.46841245633654</v>
      </c>
      <c r="C34" s="18">
        <f>C26-(C22+C14+D9)</f>
        <v>600.9506208281058</v>
      </c>
      <c r="D34" s="18">
        <f>K8*(G9-D9)</f>
        <v>559.18814383925758</v>
      </c>
      <c r="E34" s="19">
        <f>(C34/P8)*Q8</f>
        <v>14.302933177405617</v>
      </c>
      <c r="F34" s="18">
        <f>1000*L8*Q8*K8*((G9-D9)/760)</f>
        <v>13.309163621925343</v>
      </c>
      <c r="H34" s="18">
        <f>(B26-(20.946*B22)/100)*100/79.054</f>
        <v>106.17381845271839</v>
      </c>
      <c r="I34">
        <f>B34-H34</f>
        <v>1.294594003618144</v>
      </c>
    </row>
    <row r="35" spans="1:17" ht="7.5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1:17" ht="15.75" thickBot="1" x14ac:dyDescent="0.3"/>
    <row r="37" spans="1:17" ht="15.75" thickBot="1" x14ac:dyDescent="0.3">
      <c r="A37" s="35" t="s">
        <v>73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7"/>
    </row>
    <row r="39" spans="1:17" x14ac:dyDescent="0.25">
      <c r="B39" s="22"/>
    </row>
    <row r="40" spans="1:17" x14ac:dyDescent="0.25">
      <c r="B40" s="22" t="s">
        <v>74</v>
      </c>
    </row>
  </sheetData>
  <mergeCells count="4">
    <mergeCell ref="B7:C7"/>
    <mergeCell ref="A2:Q2"/>
    <mergeCell ref="A37:Q37"/>
    <mergeCell ref="J5:T5"/>
  </mergeCells>
  <pageMargins left="0.7" right="0.7" top="0.78740157499999996" bottom="0.78740157499999996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03054-BEF3-4676-8531-22E684AF6EA7}">
  <dimension ref="B1:AB62"/>
  <sheetViews>
    <sheetView tabSelected="1" workbookViewId="0">
      <selection activeCell="B2" sqref="B2:L7"/>
    </sheetView>
  </sheetViews>
  <sheetFormatPr baseColWidth="10" defaultRowHeight="15" x14ac:dyDescent="0.25"/>
  <cols>
    <col min="2" max="2" width="4.5703125" bestFit="1" customWidth="1"/>
    <col min="3" max="4" width="8" bestFit="1" customWidth="1"/>
    <col min="5" max="8" width="12" bestFit="1" customWidth="1"/>
    <col min="9" max="9" width="12" customWidth="1"/>
    <col min="10" max="11" width="12" bestFit="1" customWidth="1"/>
    <col min="12" max="14" width="12" customWidth="1"/>
    <col min="15" max="16" width="12" bestFit="1" customWidth="1"/>
    <col min="17" max="17" width="12" customWidth="1"/>
    <col min="18" max="20" width="12" bestFit="1" customWidth="1"/>
    <col min="21" max="21" width="12" customWidth="1"/>
    <col min="22" max="24" width="12" bestFit="1" customWidth="1"/>
    <col min="25" max="25" width="12" customWidth="1"/>
    <col min="26" max="27" width="12" bestFit="1" customWidth="1"/>
    <col min="28" max="28" width="9" bestFit="1" customWidth="1"/>
  </cols>
  <sheetData>
    <row r="1" spans="2:28" ht="15.75" thickBot="1" x14ac:dyDescent="0.3"/>
    <row r="2" spans="2:28" ht="15.75" thickBot="1" x14ac:dyDescent="0.3">
      <c r="C2" s="38" t="s">
        <v>56</v>
      </c>
      <c r="D2" s="39"/>
      <c r="E2" s="39"/>
      <c r="F2" s="39"/>
      <c r="G2" s="39"/>
      <c r="H2" s="39"/>
      <c r="I2" s="39"/>
      <c r="J2" s="40"/>
      <c r="K2" s="40"/>
      <c r="L2" s="41"/>
      <c r="N2" t="s">
        <v>31</v>
      </c>
      <c r="O2" t="s">
        <v>50</v>
      </c>
      <c r="Q2" t="s">
        <v>45</v>
      </c>
      <c r="R2" t="s">
        <v>44</v>
      </c>
    </row>
    <row r="3" spans="2:28" x14ac:dyDescent="0.25">
      <c r="C3" t="s">
        <v>42</v>
      </c>
      <c r="D3" t="s">
        <v>38</v>
      </c>
      <c r="E3" t="s">
        <v>39</v>
      </c>
      <c r="F3" t="s">
        <v>40</v>
      </c>
      <c r="G3" t="s">
        <v>41</v>
      </c>
      <c r="H3" t="s">
        <v>78</v>
      </c>
      <c r="I3" t="s">
        <v>33</v>
      </c>
      <c r="J3" t="s">
        <v>75</v>
      </c>
      <c r="K3" t="s">
        <v>76</v>
      </c>
      <c r="L3" t="s">
        <v>77</v>
      </c>
      <c r="N3" t="s">
        <v>32</v>
      </c>
      <c r="O3" t="s">
        <v>3</v>
      </c>
      <c r="Q3" s="2">
        <v>228.6</v>
      </c>
      <c r="R3">
        <f>10^(2.880814-(Q3/19748.2))</f>
        <v>740.01114660668952</v>
      </c>
    </row>
    <row r="4" spans="2:28" x14ac:dyDescent="0.25">
      <c r="B4" t="s">
        <v>10</v>
      </c>
      <c r="C4" s="20">
        <v>0.20946000000000001</v>
      </c>
      <c r="D4" s="20">
        <v>1.42903</v>
      </c>
      <c r="E4" s="20">
        <v>-58.387700000000002</v>
      </c>
      <c r="F4" s="20">
        <v>85.807900000000004</v>
      </c>
      <c r="G4" s="20">
        <v>23.843900000000001</v>
      </c>
      <c r="H4" s="20"/>
      <c r="I4" s="20">
        <v>0.53180000000000005</v>
      </c>
      <c r="J4" s="20">
        <v>-3.4891999999999999E-2</v>
      </c>
      <c r="K4" s="20">
        <v>1.5568E-2</v>
      </c>
      <c r="L4" s="20">
        <v>-1.9387E-3</v>
      </c>
      <c r="N4" s="2">
        <v>6</v>
      </c>
      <c r="O4" s="2">
        <v>99.6</v>
      </c>
      <c r="P4" t="s">
        <v>53</v>
      </c>
      <c r="Q4">
        <v>475</v>
      </c>
    </row>
    <row r="5" spans="2:28" x14ac:dyDescent="0.25">
      <c r="B5" t="s">
        <v>13</v>
      </c>
      <c r="C5" s="20">
        <v>0.78083999999999998</v>
      </c>
      <c r="D5" s="20">
        <v>1.2504299999999999</v>
      </c>
      <c r="E5" s="20">
        <v>-59.627400000000002</v>
      </c>
      <c r="F5" s="20">
        <v>85.7761</v>
      </c>
      <c r="G5" s="20">
        <v>24.369599999999998</v>
      </c>
      <c r="H5" s="20"/>
      <c r="I5" s="20">
        <v>0.60780000000000001</v>
      </c>
      <c r="J5" s="20">
        <v>-5.1580000000000001E-2</v>
      </c>
      <c r="K5" s="20">
        <v>2.6329000000000002E-2</v>
      </c>
      <c r="L5" s="20">
        <v>-3.7252000000000001E-3</v>
      </c>
      <c r="N5" s="2">
        <v>13.3</v>
      </c>
    </row>
    <row r="6" spans="2:28" x14ac:dyDescent="0.25">
      <c r="B6" t="s">
        <v>15</v>
      </c>
      <c r="C6" s="20">
        <v>3.2000000000000003E-4</v>
      </c>
      <c r="D6" s="20">
        <v>1.97681</v>
      </c>
      <c r="E6" s="20">
        <v>-58.0931</v>
      </c>
      <c r="F6" s="20">
        <v>90.506900000000002</v>
      </c>
      <c r="G6" s="20">
        <v>22.294</v>
      </c>
      <c r="H6" s="20">
        <v>-1.47759</v>
      </c>
      <c r="I6" s="20">
        <v>0.38450000000000001</v>
      </c>
      <c r="J6" s="20">
        <v>2.9940999999999999E-2</v>
      </c>
      <c r="K6" s="20">
        <v>-2.7455E-2</v>
      </c>
      <c r="L6" s="20">
        <v>5.3407000000000003E-3</v>
      </c>
      <c r="N6" s="2">
        <v>0.08</v>
      </c>
    </row>
    <row r="7" spans="2:28" x14ac:dyDescent="0.25">
      <c r="B7" t="s">
        <v>71</v>
      </c>
      <c r="C7" s="20">
        <v>9.3399999999999993E-3</v>
      </c>
      <c r="D7" s="20"/>
      <c r="E7" s="20">
        <v>-55.657800000000002</v>
      </c>
      <c r="F7" s="20">
        <v>82.026200000000003</v>
      </c>
      <c r="G7" s="20">
        <v>22.5929</v>
      </c>
      <c r="H7" s="20"/>
      <c r="I7" s="20"/>
      <c r="J7" s="20">
        <v>-3.6267000000000001E-2</v>
      </c>
      <c r="K7" s="20">
        <v>1.6240999999999998E-2</v>
      </c>
      <c r="L7" s="20">
        <v>-2.0114E-3</v>
      </c>
    </row>
    <row r="8" spans="2:28" ht="15.75" thickBot="1" x14ac:dyDescent="0.3">
      <c r="B8" t="s">
        <v>15</v>
      </c>
      <c r="E8">
        <v>-160.73330000000001</v>
      </c>
      <c r="F8">
        <v>215.4152</v>
      </c>
      <c r="G8">
        <v>89.891999999999996</v>
      </c>
      <c r="H8" s="20">
        <v>-1.47759</v>
      </c>
    </row>
    <row r="9" spans="2:28" ht="15.75" thickBot="1" x14ac:dyDescent="0.3">
      <c r="J9" s="42" t="s">
        <v>29</v>
      </c>
      <c r="K9" s="43"/>
      <c r="L9" s="43"/>
      <c r="M9" s="44"/>
      <c r="N9" s="42" t="s">
        <v>70</v>
      </c>
      <c r="O9" s="43"/>
      <c r="P9" s="43"/>
      <c r="Q9" s="44"/>
      <c r="R9" s="42" t="s">
        <v>46</v>
      </c>
      <c r="S9" s="43"/>
      <c r="T9" s="43"/>
      <c r="U9" s="44"/>
      <c r="V9" s="42" t="s">
        <v>47</v>
      </c>
      <c r="W9" s="43"/>
      <c r="X9" s="43"/>
      <c r="Y9" s="44"/>
      <c r="Z9" s="14" t="s">
        <v>48</v>
      </c>
      <c r="AA9" s="14" t="s">
        <v>48</v>
      </c>
      <c r="AB9" s="14" t="s">
        <v>51</v>
      </c>
    </row>
    <row r="10" spans="2:28" x14ac:dyDescent="0.25">
      <c r="B10" s="3" t="s">
        <v>36</v>
      </c>
      <c r="C10" s="4" t="s">
        <v>36</v>
      </c>
      <c r="D10" s="4"/>
      <c r="E10" s="4" t="s">
        <v>35</v>
      </c>
      <c r="F10" s="4" t="s">
        <v>10</v>
      </c>
      <c r="G10" s="4" t="s">
        <v>13</v>
      </c>
      <c r="H10" s="4" t="s">
        <v>15</v>
      </c>
      <c r="I10" s="4" t="s">
        <v>71</v>
      </c>
      <c r="J10" s="3" t="s">
        <v>10</v>
      </c>
      <c r="K10" s="4" t="s">
        <v>13</v>
      </c>
      <c r="L10" s="4" t="s">
        <v>15</v>
      </c>
      <c r="M10" s="5" t="s">
        <v>71</v>
      </c>
      <c r="N10" s="3" t="s">
        <v>10</v>
      </c>
      <c r="O10" s="4" t="s">
        <v>13</v>
      </c>
      <c r="P10" s="4" t="s">
        <v>15</v>
      </c>
      <c r="Q10" s="5" t="s">
        <v>71</v>
      </c>
      <c r="R10" s="3" t="s">
        <v>10</v>
      </c>
      <c r="S10" s="4" t="s">
        <v>13</v>
      </c>
      <c r="T10" s="4" t="s">
        <v>15</v>
      </c>
      <c r="U10" s="5" t="s">
        <v>71</v>
      </c>
      <c r="V10" s="3" t="s">
        <v>10</v>
      </c>
      <c r="W10" s="4" t="s">
        <v>13</v>
      </c>
      <c r="X10" s="4" t="s">
        <v>15</v>
      </c>
      <c r="Y10" s="5" t="s">
        <v>71</v>
      </c>
      <c r="Z10" s="14"/>
      <c r="AA10" s="14" t="s">
        <v>49</v>
      </c>
      <c r="AB10" s="14"/>
    </row>
    <row r="11" spans="2:28" ht="15.75" thickBot="1" x14ac:dyDescent="0.3">
      <c r="B11" s="8" t="s">
        <v>26</v>
      </c>
      <c r="C11" s="9" t="s">
        <v>43</v>
      </c>
      <c r="D11" s="9" t="s">
        <v>37</v>
      </c>
      <c r="E11" s="9" t="s">
        <v>30</v>
      </c>
      <c r="F11" s="9" t="s">
        <v>34</v>
      </c>
      <c r="G11" s="9" t="s">
        <v>34</v>
      </c>
      <c r="H11" s="9" t="s">
        <v>34</v>
      </c>
      <c r="I11" s="9" t="s">
        <v>34</v>
      </c>
      <c r="J11" s="6" t="s">
        <v>30</v>
      </c>
      <c r="K11" t="s">
        <v>30</v>
      </c>
      <c r="L11" t="s">
        <v>30</v>
      </c>
      <c r="M11" s="7" t="s">
        <v>30</v>
      </c>
      <c r="N11" s="6" t="s">
        <v>32</v>
      </c>
      <c r="O11" t="s">
        <v>32</v>
      </c>
      <c r="P11" t="s">
        <v>32</v>
      </c>
      <c r="Q11" s="7" t="s">
        <v>32</v>
      </c>
      <c r="R11" s="6" t="s">
        <v>30</v>
      </c>
      <c r="S11" t="s">
        <v>30</v>
      </c>
      <c r="T11" t="s">
        <v>30</v>
      </c>
      <c r="U11" s="7" t="s">
        <v>30</v>
      </c>
      <c r="V11" s="6" t="s">
        <v>3</v>
      </c>
      <c r="W11" t="s">
        <v>3</v>
      </c>
      <c r="X11" t="s">
        <v>3</v>
      </c>
      <c r="Y11" s="7" t="s">
        <v>3</v>
      </c>
      <c r="Z11" s="16" t="s">
        <v>30</v>
      </c>
      <c r="AA11" s="16" t="s">
        <v>3</v>
      </c>
      <c r="AB11" s="16" t="s">
        <v>3</v>
      </c>
    </row>
    <row r="12" spans="2:28" x14ac:dyDescent="0.25">
      <c r="B12">
        <v>0</v>
      </c>
      <c r="C12">
        <f>B12+273.15</f>
        <v>273.14999999999998</v>
      </c>
      <c r="D12">
        <f>4.7603</f>
        <v>4.7603</v>
      </c>
      <c r="E12">
        <f>(D12)*(EXP(0.0645*B12))</f>
        <v>4.7603</v>
      </c>
      <c r="F12">
        <f>EXP($E$4+$F$4*(100/C12)+$G$4*LN(C12/100))</f>
        <v>4.9098305060767157E-2</v>
      </c>
      <c r="G12">
        <f>EXP($E$5+$F$5*(100/C12)+$G$5*LN(C12/100))</f>
        <v>2.3824934060392194E-2</v>
      </c>
      <c r="H12">
        <f>(EXP($E$6+$F$6*(100/C12)+$G$6*LN(C12/100)))*22.263</f>
        <v>1.7271577190676828</v>
      </c>
      <c r="I12">
        <v>5.3629999999999997E-2</v>
      </c>
      <c r="J12" s="3">
        <f t="shared" ref="J12:J43" si="0">($N$4/F12)*$I$4</f>
        <v>64.987986775732182</v>
      </c>
      <c r="K12" s="4">
        <f t="shared" ref="K12:K43" si="1">($N$5/G12)*$I$5</f>
        <v>339.29747631238268</v>
      </c>
      <c r="L12" s="4">
        <f t="shared" ref="L12:L43" si="2">($N$6/H12)*$I$6</f>
        <v>1.7809606882111615E-2</v>
      </c>
      <c r="M12" s="5"/>
      <c r="N12" s="3">
        <f t="shared" ref="N12:N43" si="3">1000*$D$4*F12*$C$4*(($R$3-E12)/760)</f>
        <v>14.217750418699278</v>
      </c>
      <c r="O12" s="4">
        <f t="shared" ref="O12:O43" si="4">1000*$D$5*G12*$C$5*(($R$3-E12)/760)</f>
        <v>22.50479626781064</v>
      </c>
      <c r="P12" s="4">
        <f t="shared" ref="P12:P43" si="5">1000*$D$6*H12*$C$6*(($R$3-E12)/760)</f>
        <v>1.0569850544898711</v>
      </c>
      <c r="Q12" s="5"/>
      <c r="R12" s="3">
        <f t="shared" ref="R12:R43" si="6">$C$4*($R$3-E12)</f>
        <v>154.00564233023718</v>
      </c>
      <c r="S12" s="4">
        <f t="shared" ref="S12:S43" si="7">$C$5*($R$3-E12)</f>
        <v>574.11327106436738</v>
      </c>
      <c r="T12" s="4">
        <f t="shared" ref="T12:T43" si="8">$C$6*($R$3-E12)</f>
        <v>0.23528027091414067</v>
      </c>
      <c r="U12" s="5"/>
      <c r="V12" s="3">
        <f>(J12/R12)*100</f>
        <v>42.198445324735069</v>
      </c>
      <c r="W12" s="4">
        <f>(K12/S12)*100</f>
        <v>59.099396131942392</v>
      </c>
      <c r="X12" s="4">
        <f>((L12/T12)*100)</f>
        <v>7.5695283811581309</v>
      </c>
      <c r="Y12" s="5"/>
      <c r="Z12" s="14">
        <f>J12+K12+L12+E12</f>
        <v>409.06357269499694</v>
      </c>
      <c r="AA12" s="14">
        <f t="shared" ref="AA12:AA43" si="9">(Z12/$R$3)*100</f>
        <v>55.278028523050239</v>
      </c>
      <c r="AB12" s="14">
        <f t="shared" ref="AB12:AB43" si="10">$O$4-AA12</f>
        <v>44.321971476949756</v>
      </c>
    </row>
    <row r="13" spans="2:28" x14ac:dyDescent="0.25">
      <c r="B13">
        <v>1</v>
      </c>
      <c r="C13">
        <f>B13+273.15</f>
        <v>274.14999999999998</v>
      </c>
      <c r="D13">
        <f>4.7603</f>
        <v>4.7603</v>
      </c>
      <c r="E13">
        <f t="shared" ref="E13:E47" si="11">(D13)*(EXP(0.0645*B13))</f>
        <v>5.0774577401180023</v>
      </c>
      <c r="F13">
        <f t="shared" ref="F13:F62" si="12">EXP($E$4+$F$4*(100/C13)+$G$4*LN(C13/100))</f>
        <v>4.7768660837705611E-2</v>
      </c>
      <c r="G13">
        <f t="shared" ref="G13:G62" si="13">EXP($E$5+$F$5*(100/C13)+$G$5*LN(C13/100))</f>
        <v>2.3225283611848335E-2</v>
      </c>
      <c r="H13">
        <v>7.3801023374935243E-2</v>
      </c>
      <c r="I13">
        <f>(EXP($E$8+$F$8*(100/C13)+$G$8*LN(C13/100)+H8*(C13/100)^2))</f>
        <v>7.3801023374935243E-2</v>
      </c>
      <c r="J13" s="6">
        <f t="shared" si="0"/>
        <v>66.796932215470051</v>
      </c>
      <c r="K13">
        <f t="shared" si="1"/>
        <v>348.05775184920003</v>
      </c>
      <c r="L13">
        <f t="shared" si="2"/>
        <v>0.41679638836074601</v>
      </c>
      <c r="M13" s="7"/>
      <c r="N13" s="6">
        <f t="shared" si="3"/>
        <v>13.826748869199674</v>
      </c>
      <c r="O13">
        <f t="shared" si="4"/>
        <v>21.928909070844064</v>
      </c>
      <c r="P13">
        <f t="shared" si="5"/>
        <v>4.514522845346406E-2</v>
      </c>
      <c r="Q13" s="7"/>
      <c r="R13" s="6">
        <f t="shared" si="6"/>
        <v>153.93921046999208</v>
      </c>
      <c r="S13">
        <f t="shared" si="7"/>
        <v>573.86562161457368</v>
      </c>
      <c r="T13">
        <f t="shared" si="8"/>
        <v>0.23517878043730289</v>
      </c>
      <c r="U13" s="7"/>
      <c r="V13" s="6">
        <f t="shared" ref="V13:V47" si="14">(J13/R13)*100</f>
        <v>43.391759650794768</v>
      </c>
      <c r="W13">
        <f t="shared" ref="W13:W47" si="15">(K13/S13)*100</f>
        <v>60.65143802654319</v>
      </c>
      <c r="X13">
        <f>((L13/T13)*100)</f>
        <v>177.22533792620851</v>
      </c>
      <c r="Y13" s="7"/>
      <c r="Z13" s="15">
        <f t="shared" ref="Z13:Z47" si="16">J13+K13+L13+E13</f>
        <v>420.34893819314885</v>
      </c>
      <c r="AA13" s="15">
        <f t="shared" si="9"/>
        <v>56.803054943246856</v>
      </c>
      <c r="AB13" s="15">
        <f t="shared" si="10"/>
        <v>42.796945056753138</v>
      </c>
    </row>
    <row r="14" spans="2:28" x14ac:dyDescent="0.25">
      <c r="B14">
        <v>2</v>
      </c>
      <c r="C14">
        <f t="shared" ref="C14:C62" si="17">B14+273.15</f>
        <v>275.14999999999998</v>
      </c>
      <c r="D14">
        <f t="shared" ref="D14:D62" si="18">4.7603</f>
        <v>4.7603</v>
      </c>
      <c r="E14">
        <f t="shared" si="11"/>
        <v>5.4157462980661322</v>
      </c>
      <c r="F14">
        <f t="shared" si="12"/>
        <v>4.6498996504060822E-2</v>
      </c>
      <c r="G14">
        <f t="shared" si="13"/>
        <v>2.2652238249007219E-2</v>
      </c>
      <c r="H14">
        <v>7.0946889230012924E-2</v>
      </c>
      <c r="I14">
        <f>(EXP($E$8+$F$8*(100/C14)+$G$8*LN(C14/100)+$H$8*(C14/100)^2))</f>
        <v>7.0946889230012924E-2</v>
      </c>
      <c r="J14" s="6">
        <f t="shared" si="0"/>
        <v>68.620835714623283</v>
      </c>
      <c r="K14">
        <f t="shared" si="1"/>
        <v>356.86274844625069</v>
      </c>
      <c r="L14">
        <f t="shared" si="2"/>
        <v>0.43356375922663404</v>
      </c>
      <c r="M14" s="7"/>
      <c r="N14" s="6">
        <f t="shared" si="3"/>
        <v>13.453046341437805</v>
      </c>
      <c r="O14">
        <f t="shared" si="4"/>
        <v>21.378004814384582</v>
      </c>
      <c r="P14">
        <f t="shared" si="5"/>
        <v>4.3379333795644917E-2</v>
      </c>
      <c r="Q14" s="7"/>
      <c r="R14" s="6">
        <f t="shared" si="6"/>
        <v>153.86835254864428</v>
      </c>
      <c r="S14">
        <f t="shared" si="7"/>
        <v>573.6014723769855</v>
      </c>
      <c r="T14">
        <f t="shared" si="8"/>
        <v>0.23507052809875953</v>
      </c>
      <c r="U14" s="7"/>
      <c r="V14" s="6">
        <f t="shared" si="14"/>
        <v>44.597108227911484</v>
      </c>
      <c r="W14">
        <f t="shared" si="15"/>
        <v>62.214405930205039</v>
      </c>
      <c r="X14">
        <f t="shared" ref="X14:X47" si="19">((L14/T14)*100)</f>
        <v>184.4398626800558</v>
      </c>
      <c r="Y14" s="7"/>
      <c r="Z14" s="15">
        <f t="shared" si="16"/>
        <v>431.33289421816676</v>
      </c>
      <c r="AA14" s="15">
        <f t="shared" si="9"/>
        <v>58.287350967081721</v>
      </c>
      <c r="AB14" s="15">
        <f t="shared" si="10"/>
        <v>41.312649032918273</v>
      </c>
    </row>
    <row r="15" spans="2:28" x14ac:dyDescent="0.25">
      <c r="B15">
        <v>3</v>
      </c>
      <c r="C15">
        <f t="shared" si="17"/>
        <v>276.14999999999998</v>
      </c>
      <c r="D15">
        <f t="shared" si="18"/>
        <v>4.7603</v>
      </c>
      <c r="E15">
        <f t="shared" si="11"/>
        <v>5.776573526801104</v>
      </c>
      <c r="F15">
        <f t="shared" si="12"/>
        <v>4.5286119940475059E-2</v>
      </c>
      <c r="G15">
        <f t="shared" si="13"/>
        <v>2.2104418020778154E-2</v>
      </c>
      <c r="H15">
        <v>6.8243069658542085E-2</v>
      </c>
      <c r="I15">
        <f t="shared" ref="I15:I62" si="20">(EXP($E$8+$F$8*(100/C15)+$G$8*LN(C15/100)+$H$8*(C15/100)^2))</f>
        <v>6.8243069658542085E-2</v>
      </c>
      <c r="J15" s="6">
        <f t="shared" si="0"/>
        <v>70.458674847702753</v>
      </c>
      <c r="K15">
        <f t="shared" si="1"/>
        <v>365.7069818531881</v>
      </c>
      <c r="L15">
        <f t="shared" si="2"/>
        <v>0.45074174057394156</v>
      </c>
      <c r="M15" s="7"/>
      <c r="N15" s="6">
        <f t="shared" si="3"/>
        <v>13.095702361589208</v>
      </c>
      <c r="O15">
        <f t="shared" si="4"/>
        <v>20.850753810888186</v>
      </c>
      <c r="P15">
        <f t="shared" si="5"/>
        <v>4.1705631295626162E-2</v>
      </c>
      <c r="Q15" s="7"/>
      <c r="R15" s="6">
        <f t="shared" si="6"/>
        <v>153.79277367731342</v>
      </c>
      <c r="S15">
        <f t="shared" si="7"/>
        <v>573.31972404370003</v>
      </c>
      <c r="T15">
        <f t="shared" si="8"/>
        <v>0.23495506338556429</v>
      </c>
      <c r="U15" s="7"/>
      <c r="V15" s="6">
        <f t="shared" si="14"/>
        <v>45.814034796939481</v>
      </c>
      <c r="W15">
        <f t="shared" si="15"/>
        <v>63.787615621142123</v>
      </c>
      <c r="X15">
        <f t="shared" si="19"/>
        <v>191.84167988508872</v>
      </c>
      <c r="Y15" s="7"/>
      <c r="Z15" s="15">
        <f t="shared" si="16"/>
        <v>442.3929719682659</v>
      </c>
      <c r="AA15" s="15">
        <f t="shared" si="9"/>
        <v>59.781933555575819</v>
      </c>
      <c r="AB15" s="15">
        <f t="shared" si="10"/>
        <v>39.818066444424176</v>
      </c>
    </row>
    <row r="16" spans="2:28" x14ac:dyDescent="0.25">
      <c r="B16">
        <v>4</v>
      </c>
      <c r="C16">
        <f t="shared" si="17"/>
        <v>277.14999999999998</v>
      </c>
      <c r="D16">
        <f t="shared" si="18"/>
        <v>4.7603</v>
      </c>
      <c r="E16">
        <f t="shared" si="11"/>
        <v>6.1614410782969591</v>
      </c>
      <c r="F16">
        <f t="shared" si="12"/>
        <v>4.4127038145742897E-2</v>
      </c>
      <c r="G16">
        <f t="shared" si="13"/>
        <v>2.1580527590253622E-2</v>
      </c>
      <c r="H16">
        <v>6.5679823416058006E-2</v>
      </c>
      <c r="I16">
        <f t="shared" si="20"/>
        <v>6.5679823416058006E-2</v>
      </c>
      <c r="J16" s="6">
        <f t="shared" si="0"/>
        <v>72.309407884150701</v>
      </c>
      <c r="K16">
        <f t="shared" si="1"/>
        <v>374.58491068822832</v>
      </c>
      <c r="L16">
        <f t="shared" si="2"/>
        <v>0.46833256242402616</v>
      </c>
      <c r="M16" s="7"/>
      <c r="N16" s="6">
        <f t="shared" si="3"/>
        <v>12.753833865754034</v>
      </c>
      <c r="O16">
        <f t="shared" si="4"/>
        <v>20.345905701620037</v>
      </c>
      <c r="P16">
        <f t="shared" si="5"/>
        <v>4.0118105505161428E-2</v>
      </c>
      <c r="Q16" s="7"/>
      <c r="R16" s="6">
        <f t="shared" si="6"/>
        <v>153.7121593199771</v>
      </c>
      <c r="S16">
        <f t="shared" si="7"/>
        <v>573.01920406478996</v>
      </c>
      <c r="T16">
        <f t="shared" si="8"/>
        <v>0.23483190576908564</v>
      </c>
      <c r="U16" s="7"/>
      <c r="V16" s="6">
        <f t="shared" si="14"/>
        <v>47.042087108819281</v>
      </c>
      <c r="W16">
        <f t="shared" si="15"/>
        <v>65.37039387703922</v>
      </c>
      <c r="X16">
        <f t="shared" si="19"/>
        <v>199.43310551869635</v>
      </c>
      <c r="Y16" s="7"/>
      <c r="Z16" s="15">
        <f t="shared" si="16"/>
        <v>453.5240922131</v>
      </c>
      <c r="AA16" s="15">
        <f t="shared" si="9"/>
        <v>61.286116336588734</v>
      </c>
      <c r="AB16" s="15">
        <f t="shared" si="10"/>
        <v>38.313883663411261</v>
      </c>
    </row>
    <row r="17" spans="2:28" x14ac:dyDescent="0.25">
      <c r="B17">
        <v>5</v>
      </c>
      <c r="C17">
        <f t="shared" si="17"/>
        <v>278.14999999999998</v>
      </c>
      <c r="D17">
        <f t="shared" si="18"/>
        <v>4.7603</v>
      </c>
      <c r="E17">
        <f t="shared" si="11"/>
        <v>6.5719506529588259</v>
      </c>
      <c r="F17">
        <f t="shared" si="12"/>
        <v>4.3018943296961827E-2</v>
      </c>
      <c r="G17">
        <f t="shared" si="13"/>
        <v>2.1079350405924391E-2</v>
      </c>
      <c r="H17">
        <v>6.3248136008089137E-2</v>
      </c>
      <c r="I17">
        <f t="shared" si="20"/>
        <v>6.3248136008089137E-2</v>
      </c>
      <c r="J17" s="6">
        <f t="shared" si="0"/>
        <v>74.171975308034774</v>
      </c>
      <c r="K17">
        <f t="shared" si="1"/>
        <v>383.49094466061206</v>
      </c>
      <c r="L17">
        <f t="shared" si="2"/>
        <v>0.48633844317666447</v>
      </c>
      <c r="M17" s="7"/>
      <c r="N17" s="6">
        <f t="shared" si="3"/>
        <v>12.426611097399116</v>
      </c>
      <c r="O17">
        <f t="shared" si="4"/>
        <v>19.862283842511111</v>
      </c>
      <c r="P17">
        <f t="shared" si="5"/>
        <v>3.8611187775352246E-2</v>
      </c>
      <c r="Q17" s="7"/>
      <c r="R17" s="6">
        <f t="shared" si="6"/>
        <v>153.62617398446844</v>
      </c>
      <c r="S17">
        <f t="shared" si="7"/>
        <v>572.6986617685111</v>
      </c>
      <c r="T17">
        <f t="shared" si="8"/>
        <v>0.23470054270519386</v>
      </c>
      <c r="U17" s="7"/>
      <c r="V17" s="6">
        <f t="shared" si="14"/>
        <v>48.280819201768018</v>
      </c>
      <c r="W17">
        <f t="shared" si="15"/>
        <v>66.962081503103249</v>
      </c>
      <c r="X17">
        <f t="shared" si="19"/>
        <v>207.21658227588833</v>
      </c>
      <c r="Y17" s="7"/>
      <c r="Z17" s="15">
        <f t="shared" si="16"/>
        <v>464.72120906478239</v>
      </c>
      <c r="AA17" s="15">
        <f t="shared" si="9"/>
        <v>62.799217443649979</v>
      </c>
      <c r="AB17" s="15">
        <f t="shared" si="10"/>
        <v>36.800782556350015</v>
      </c>
    </row>
    <row r="18" spans="2:28" x14ac:dyDescent="0.25">
      <c r="B18">
        <v>6</v>
      </c>
      <c r="C18">
        <f t="shared" si="17"/>
        <v>279.14999999999998</v>
      </c>
      <c r="D18">
        <f t="shared" si="18"/>
        <v>4.7603</v>
      </c>
      <c r="E18">
        <f t="shared" si="11"/>
        <v>7.0098106654075067</v>
      </c>
      <c r="F18">
        <f t="shared" si="12"/>
        <v>4.1959199886779014E-2</v>
      </c>
      <c r="G18">
        <f t="shared" si="13"/>
        <v>2.0599743317046112E-2</v>
      </c>
      <c r="H18">
        <v>6.0939658926975435E-2</v>
      </c>
      <c r="I18">
        <f t="shared" si="20"/>
        <v>6.0939658926975435E-2</v>
      </c>
      <c r="J18" s="6">
        <f t="shared" si="0"/>
        <v>76.045301354885808</v>
      </c>
      <c r="K18">
        <f t="shared" si="1"/>
        <v>392.41945278564589</v>
      </c>
      <c r="L18">
        <f t="shared" si="2"/>
        <v>0.50476160421015803</v>
      </c>
      <c r="M18" s="7"/>
      <c r="N18" s="6">
        <f t="shared" si="3"/>
        <v>12.113253816034604</v>
      </c>
      <c r="O18">
        <f t="shared" si="4"/>
        <v>19.398780107277862</v>
      </c>
      <c r="P18">
        <f t="shared" si="5"/>
        <v>3.7179718798513568E-2</v>
      </c>
      <c r="Q18" s="7"/>
      <c r="R18" s="6">
        <f t="shared" si="6"/>
        <v>153.53445982626093</v>
      </c>
      <c r="S18">
        <f t="shared" si="7"/>
        <v>572.35676315639068</v>
      </c>
      <c r="T18">
        <f t="shared" si="8"/>
        <v>0.23456042750121028</v>
      </c>
      <c r="U18" s="7"/>
      <c r="V18" s="6">
        <f t="shared" si="14"/>
        <v>49.529793794134825</v>
      </c>
      <c r="W18">
        <f t="shared" si="15"/>
        <v>68.562036486047646</v>
      </c>
      <c r="X18">
        <f t="shared" si="19"/>
        <v>215.19469826492946</v>
      </c>
      <c r="Y18" s="7"/>
      <c r="Z18" s="15">
        <f t="shared" si="16"/>
        <v>475.97932641014933</v>
      </c>
      <c r="AA18" s="15">
        <f t="shared" si="9"/>
        <v>64.320561736501631</v>
      </c>
      <c r="AB18" s="15">
        <f t="shared" si="10"/>
        <v>35.279438263498363</v>
      </c>
    </row>
    <row r="19" spans="2:28" x14ac:dyDescent="0.25">
      <c r="B19">
        <v>7</v>
      </c>
      <c r="C19">
        <f t="shared" si="17"/>
        <v>280.14999999999998</v>
      </c>
      <c r="D19">
        <f t="shared" si="18"/>
        <v>4.7603</v>
      </c>
      <c r="E19">
        <f t="shared" si="11"/>
        <v>7.4768433543757888</v>
      </c>
      <c r="F19">
        <f t="shared" si="12"/>
        <v>4.09453328472223E-2</v>
      </c>
      <c r="G19">
        <f t="shared" si="13"/>
        <v>2.0140631596300317E-2</v>
      </c>
      <c r="H19">
        <v>5.8746654479924006E-2</v>
      </c>
      <c r="I19">
        <f t="shared" si="20"/>
        <v>5.8746654479924006E-2</v>
      </c>
      <c r="J19" s="6">
        <f t="shared" si="0"/>
        <v>77.928295561931478</v>
      </c>
      <c r="K19">
        <f t="shared" si="1"/>
        <v>401.36477157374367</v>
      </c>
      <c r="L19">
        <f t="shared" si="2"/>
        <v>0.52360428474291887</v>
      </c>
      <c r="M19" s="7"/>
      <c r="N19" s="6">
        <f t="shared" si="3"/>
        <v>11.813027790559742</v>
      </c>
      <c r="O19">
        <f t="shared" si="4"/>
        <v>18.954350072413053</v>
      </c>
      <c r="P19">
        <f t="shared" si="5"/>
        <v>3.581891459208629E-2</v>
      </c>
      <c r="Q19" s="7"/>
      <c r="R19" s="6">
        <f t="shared" si="6"/>
        <v>153.43663515922964</v>
      </c>
      <c r="S19">
        <f t="shared" si="7"/>
        <v>571.99208535153662</v>
      </c>
      <c r="T19">
        <f t="shared" si="8"/>
        <v>0.23441097704074043</v>
      </c>
      <c r="U19" s="7"/>
      <c r="V19" s="6">
        <f t="shared" si="14"/>
        <v>50.788584799882372</v>
      </c>
      <c r="W19">
        <f t="shared" si="15"/>
        <v>70.16963728214381</v>
      </c>
      <c r="X19">
        <f t="shared" si="19"/>
        <v>223.37020704107934</v>
      </c>
      <c r="Y19" s="7"/>
      <c r="Z19" s="15">
        <f t="shared" si="16"/>
        <v>487.29351477479383</v>
      </c>
      <c r="AA19" s="15">
        <f t="shared" si="9"/>
        <v>65.84948307998755</v>
      </c>
      <c r="AB19" s="15">
        <f t="shared" si="10"/>
        <v>33.750516920012444</v>
      </c>
    </row>
    <row r="20" spans="2:28" x14ac:dyDescent="0.25">
      <c r="B20">
        <v>8</v>
      </c>
      <c r="C20">
        <f t="shared" si="17"/>
        <v>281.14999999999998</v>
      </c>
      <c r="D20">
        <f t="shared" si="18"/>
        <v>4.7603</v>
      </c>
      <c r="E20">
        <f t="shared" si="11"/>
        <v>7.9749923663057354</v>
      </c>
      <c r="F20">
        <f t="shared" si="12"/>
        <v>3.9975016577785537E-2</v>
      </c>
      <c r="G20">
        <f t="shared" si="13"/>
        <v>1.9701004336191378E-2</v>
      </c>
      <c r="H20">
        <v>5.6661945649916633E-2</v>
      </c>
      <c r="I20">
        <f t="shared" si="20"/>
        <v>5.6661945649916633E-2</v>
      </c>
      <c r="J20" s="6">
        <f t="shared" si="0"/>
        <v>79.819854328044357</v>
      </c>
      <c r="K20">
        <f t="shared" si="1"/>
        <v>410.32121317540702</v>
      </c>
      <c r="L20">
        <f t="shared" si="2"/>
        <v>0.54286875692637393</v>
      </c>
      <c r="M20" s="7"/>
      <c r="N20" s="6">
        <f t="shared" si="3"/>
        <v>11.525241553083715</v>
      </c>
      <c r="O20">
        <f t="shared" si="4"/>
        <v>18.528008551766121</v>
      </c>
      <c r="P20">
        <f t="shared" si="5"/>
        <v>3.4524335580628694E-2</v>
      </c>
      <c r="Q20" s="7"/>
      <c r="R20" s="6">
        <f t="shared" si="6"/>
        <v>153.3322928671908</v>
      </c>
      <c r="S20">
        <f t="shared" si="7"/>
        <v>571.6031106770613</v>
      </c>
      <c r="T20">
        <f t="shared" si="8"/>
        <v>0.23425156935692282</v>
      </c>
      <c r="U20" s="7"/>
      <c r="V20" s="6">
        <f t="shared" si="14"/>
        <v>52.056779974705357</v>
      </c>
      <c r="W20">
        <f t="shared" si="15"/>
        <v>71.784286248789556</v>
      </c>
      <c r="X20">
        <f t="shared" si="19"/>
        <v>231.74604909443292</v>
      </c>
      <c r="Y20" s="7"/>
      <c r="Z20" s="15">
        <f t="shared" si="16"/>
        <v>498.65892862668352</v>
      </c>
      <c r="AA20" s="15">
        <f t="shared" si="9"/>
        <v>67.385326682344839</v>
      </c>
      <c r="AB20" s="15">
        <f t="shared" si="10"/>
        <v>32.214673317655155</v>
      </c>
    </row>
    <row r="21" spans="2:28" x14ac:dyDescent="0.25">
      <c r="B21">
        <v>9</v>
      </c>
      <c r="C21">
        <f t="shared" si="17"/>
        <v>282.14999999999998</v>
      </c>
      <c r="D21">
        <f t="shared" si="18"/>
        <v>4.7603</v>
      </c>
      <c r="E21">
        <f t="shared" si="11"/>
        <v>8.5063308442075147</v>
      </c>
      <c r="F21">
        <f t="shared" si="12"/>
        <v>3.9046064802839973E-2</v>
      </c>
      <c r="G21">
        <f t="shared" si="13"/>
        <v>1.9279910188597631E-2</v>
      </c>
      <c r="H21">
        <v>5.4678870490970255E-2</v>
      </c>
      <c r="I21">
        <f t="shared" si="20"/>
        <v>5.4678870490970255E-2</v>
      </c>
      <c r="J21" s="6">
        <f t="shared" si="0"/>
        <v>81.718862479783638</v>
      </c>
      <c r="K21">
        <f t="shared" si="1"/>
        <v>419.28307346477271</v>
      </c>
      <c r="L21">
        <f t="shared" si="2"/>
        <v>0.56255734114112232</v>
      </c>
      <c r="M21" s="7"/>
      <c r="N21" s="6">
        <f t="shared" si="3"/>
        <v>11.249243391170383</v>
      </c>
      <c r="O21">
        <f t="shared" si="4"/>
        <v>18.11882545123397</v>
      </c>
      <c r="P21">
        <f t="shared" si="5"/>
        <v>3.3291858468801602E-2</v>
      </c>
      <c r="Q21" s="7"/>
      <c r="R21" s="6">
        <f t="shared" si="6"/>
        <v>153.22099870960949</v>
      </c>
      <c r="S21">
        <f t="shared" si="7"/>
        <v>571.18822033997651</v>
      </c>
      <c r="T21">
        <f t="shared" si="8"/>
        <v>0.23408154104399428</v>
      </c>
      <c r="U21" s="7"/>
      <c r="V21" s="6">
        <f t="shared" si="14"/>
        <v>53.333983701973168</v>
      </c>
      <c r="W21">
        <f t="shared" si="15"/>
        <v>73.405413230547992</v>
      </c>
      <c r="X21">
        <f>((L21/T21)*100)</f>
        <v>240.3253749236865</v>
      </c>
      <c r="Y21" s="7"/>
      <c r="Z21" s="15">
        <f t="shared" si="16"/>
        <v>510.07082412990502</v>
      </c>
      <c r="AA21" s="15">
        <f t="shared" si="9"/>
        <v>68.927451494322412</v>
      </c>
      <c r="AB21" s="15">
        <f t="shared" si="10"/>
        <v>30.672548505677582</v>
      </c>
    </row>
    <row r="22" spans="2:28" x14ac:dyDescent="0.25">
      <c r="B22">
        <v>10</v>
      </c>
      <c r="C22">
        <f t="shared" si="17"/>
        <v>283.14999999999998</v>
      </c>
      <c r="D22">
        <f t="shared" si="18"/>
        <v>4.7603</v>
      </c>
      <c r="E22">
        <f t="shared" si="11"/>
        <v>9.0730700554431341</v>
      </c>
      <c r="F22">
        <f t="shared" si="12"/>
        <v>3.8156421190127972E-2</v>
      </c>
      <c r="G22">
        <f t="shared" si="13"/>
        <v>1.8876453419597775E-2</v>
      </c>
      <c r="H22">
        <v>5.2791240612350333E-2</v>
      </c>
      <c r="I22">
        <f t="shared" si="20"/>
        <v>5.2791240612350333E-2</v>
      </c>
      <c r="J22" s="6">
        <f t="shared" si="0"/>
        <v>83.624194839990409</v>
      </c>
      <c r="K22">
        <f t="shared" si="1"/>
        <v>428.24464004490159</v>
      </c>
      <c r="L22">
        <f t="shared" si="2"/>
        <v>0.58267242146993226</v>
      </c>
      <c r="M22" s="7"/>
      <c r="N22" s="6">
        <f t="shared" si="3"/>
        <v>10.984418558388656</v>
      </c>
      <c r="O22">
        <f t="shared" si="4"/>
        <v>17.725921916623061</v>
      </c>
      <c r="P22">
        <f t="shared" si="5"/>
        <v>3.2117650630964369E-2</v>
      </c>
      <c r="Q22" s="7"/>
      <c r="R22" s="6">
        <f t="shared" si="6"/>
        <v>153.10228951442406</v>
      </c>
      <c r="S22">
        <f t="shared" si="7"/>
        <v>570.74568769427515</v>
      </c>
      <c r="T22">
        <f t="shared" si="8"/>
        <v>0.23390018449639885</v>
      </c>
      <c r="U22" s="7"/>
      <c r="V22" s="6">
        <f t="shared" si="14"/>
        <v>54.619819929023336</v>
      </c>
      <c r="W22">
        <f t="shared" si="15"/>
        <v>75.032479312273765</v>
      </c>
      <c r="X22">
        <f t="shared" si="19"/>
        <v>249.11156984525729</v>
      </c>
      <c r="Y22" s="7"/>
      <c r="Z22" s="15">
        <f t="shared" si="16"/>
        <v>521.52457736180509</v>
      </c>
      <c r="AA22" s="15">
        <f t="shared" si="9"/>
        <v>70.475232670919695</v>
      </c>
      <c r="AB22" s="15">
        <f t="shared" si="10"/>
        <v>29.124767329080299</v>
      </c>
    </row>
    <row r="23" spans="2:28" x14ac:dyDescent="0.25">
      <c r="B23">
        <v>11</v>
      </c>
      <c r="C23">
        <f t="shared" si="17"/>
        <v>284.14999999999998</v>
      </c>
      <c r="D23">
        <f t="shared" si="18"/>
        <v>4.7603</v>
      </c>
      <c r="E23">
        <f t="shared" si="11"/>
        <v>9.6775685943412419</v>
      </c>
      <c r="F23">
        <f t="shared" si="12"/>
        <v>3.7304150668149058E-2</v>
      </c>
      <c r="G23">
        <f t="shared" si="13"/>
        <v>1.8489790254133612E-2</v>
      </c>
      <c r="H23">
        <v>5.0993303353348833E-2</v>
      </c>
      <c r="I23">
        <f t="shared" si="20"/>
        <v>5.0993303353348833E-2</v>
      </c>
      <c r="J23" s="6">
        <f t="shared" si="0"/>
        <v>85.534717795474748</v>
      </c>
      <c r="K23">
        <f t="shared" si="1"/>
        <v>437.20020015872188</v>
      </c>
      <c r="L23">
        <f t="shared" si="2"/>
        <v>0.60321646132344409</v>
      </c>
      <c r="M23" s="7"/>
      <c r="N23" s="6">
        <f t="shared" si="3"/>
        <v>10.730186684798069</v>
      </c>
      <c r="O23">
        <f t="shared" si="4"/>
        <v>17.348466750031548</v>
      </c>
      <c r="P23">
        <f t="shared" si="5"/>
        <v>3.0998146771952204E-2</v>
      </c>
      <c r="Q23" s="7"/>
      <c r="R23" s="6">
        <f t="shared" si="6"/>
        <v>152.97567125046649</v>
      </c>
      <c r="S23">
        <f t="shared" si="7"/>
        <v>570.27367105516203</v>
      </c>
      <c r="T23">
        <f t="shared" si="8"/>
        <v>0.23370674496395147</v>
      </c>
      <c r="U23" s="7"/>
      <c r="V23" s="6">
        <f t="shared" si="14"/>
        <v>55.913935265843072</v>
      </c>
      <c r="W23">
        <f t="shared" si="15"/>
        <v>76.66498075385141</v>
      </c>
      <c r="X23">
        <f t="shared" si="19"/>
        <v>258.10828070729769</v>
      </c>
      <c r="Y23" s="7"/>
      <c r="Z23" s="15">
        <f t="shared" si="16"/>
        <v>533.01570300986123</v>
      </c>
      <c r="AA23" s="15">
        <f t="shared" si="9"/>
        <v>72.028064097952722</v>
      </c>
      <c r="AB23" s="15">
        <f t="shared" si="10"/>
        <v>27.571935902047272</v>
      </c>
    </row>
    <row r="24" spans="2:28" x14ac:dyDescent="0.25">
      <c r="B24">
        <v>12</v>
      </c>
      <c r="C24">
        <f t="shared" si="17"/>
        <v>285.14999999999998</v>
      </c>
      <c r="D24">
        <f t="shared" si="18"/>
        <v>4.7603</v>
      </c>
      <c r="E24">
        <f t="shared" si="11"/>
        <v>10.322342197941481</v>
      </c>
      <c r="F24">
        <f t="shared" si="12"/>
        <v>3.6487431385726271E-2</v>
      </c>
      <c r="G24">
        <f t="shared" si="13"/>
        <v>1.8119125487287495E-2</v>
      </c>
      <c r="H24">
        <v>4.9279707292013392E-2</v>
      </c>
      <c r="I24">
        <f t="shared" si="20"/>
        <v>4.9279707292013392E-2</v>
      </c>
      <c r="J24" s="6">
        <f t="shared" si="0"/>
        <v>87.449290860420163</v>
      </c>
      <c r="K24">
        <f t="shared" si="1"/>
        <v>446.1440484901774</v>
      </c>
      <c r="L24">
        <f t="shared" si="2"/>
        <v>0.62419201919620937</v>
      </c>
      <c r="M24" s="7"/>
      <c r="N24" s="6">
        <f t="shared" si="3"/>
        <v>10.48599937057803</v>
      </c>
      <c r="O24">
        <f t="shared" si="4"/>
        <v>16.985673072173991</v>
      </c>
      <c r="P24">
        <f t="shared" si="5"/>
        <v>2.9930027639332831E-2</v>
      </c>
      <c r="Q24" s="7"/>
      <c r="R24" s="6">
        <f t="shared" si="6"/>
        <v>152.84061697145637</v>
      </c>
      <c r="S24">
        <f t="shared" si="7"/>
        <v>569.77020603452684</v>
      </c>
      <c r="T24">
        <f t="shared" si="8"/>
        <v>0.23350041741079941</v>
      </c>
      <c r="U24" s="7"/>
      <c r="V24" s="6">
        <f t="shared" si="14"/>
        <v>57.216002259891219</v>
      </c>
      <c r="W24">
        <f t="shared" si="15"/>
        <v>78.302453123205609</v>
      </c>
      <c r="X24">
        <f t="shared" si="19"/>
        <v>267.31944470063308</v>
      </c>
      <c r="Y24" s="7"/>
      <c r="Z24" s="15">
        <f t="shared" si="16"/>
        <v>544.5398735677353</v>
      </c>
      <c r="AA24" s="15">
        <f t="shared" si="9"/>
        <v>73.585360986076367</v>
      </c>
      <c r="AB24" s="15">
        <f t="shared" si="10"/>
        <v>26.014639013923627</v>
      </c>
    </row>
    <row r="25" spans="2:28" x14ac:dyDescent="0.25">
      <c r="B25">
        <v>13</v>
      </c>
      <c r="C25">
        <f t="shared" si="17"/>
        <v>286.14999999999998</v>
      </c>
      <c r="D25">
        <f t="shared" si="18"/>
        <v>4.7603</v>
      </c>
      <c r="E25">
        <f t="shared" si="11"/>
        <v>11.010074215718472</v>
      </c>
      <c r="F25">
        <f t="shared" si="12"/>
        <v>3.5704547261997455E-2</v>
      </c>
      <c r="G25">
        <f t="shared" si="13"/>
        <v>1.776370934095943E-2</v>
      </c>
      <c r="H25">
        <v>4.7645470768251499E-2</v>
      </c>
      <c r="I25">
        <f t="shared" si="20"/>
        <v>4.7645470768251499E-2</v>
      </c>
      <c r="J25" s="6">
        <f t="shared" si="0"/>
        <v>89.366768232240403</v>
      </c>
      <c r="K25">
        <f t="shared" si="1"/>
        <v>455.07049484088168</v>
      </c>
      <c r="L25">
        <f t="shared" si="2"/>
        <v>0.64560176453323848</v>
      </c>
      <c r="M25" s="7"/>
      <c r="N25" s="6">
        <f t="shared" si="3"/>
        <v>10.25133794743493</v>
      </c>
      <c r="O25">
        <f t="shared" si="4"/>
        <v>16.636795209942264</v>
      </c>
      <c r="P25">
        <f t="shared" si="5"/>
        <v>2.8910200590250738E-2</v>
      </c>
      <c r="Q25" s="7"/>
      <c r="R25" s="6">
        <f t="shared" si="6"/>
        <v>152.69656462301282</v>
      </c>
      <c r="S25">
        <f t="shared" si="7"/>
        <v>569.23319736576582</v>
      </c>
      <c r="T25">
        <f t="shared" si="8"/>
        <v>0.23328034316511076</v>
      </c>
      <c r="U25" s="7"/>
      <c r="V25" s="6">
        <f t="shared" si="14"/>
        <v>58.525722862773556</v>
      </c>
      <c r="W25">
        <f t="shared" si="15"/>
        <v>79.944475646678086</v>
      </c>
      <c r="X25">
        <f t="shared" si="19"/>
        <v>276.74932048445055</v>
      </c>
      <c r="Y25" s="7"/>
      <c r="Z25" s="15">
        <f t="shared" si="16"/>
        <v>556.0929390533737</v>
      </c>
      <c r="AA25" s="15">
        <f t="shared" si="9"/>
        <v>75.146562535352331</v>
      </c>
      <c r="AB25" s="15">
        <f t="shared" si="10"/>
        <v>24.453437464647664</v>
      </c>
    </row>
    <row r="26" spans="2:28" x14ac:dyDescent="0.25">
      <c r="B26">
        <v>14</v>
      </c>
      <c r="C26">
        <f t="shared" si="17"/>
        <v>287.14999999999998</v>
      </c>
      <c r="D26">
        <f t="shared" si="18"/>
        <v>4.7603</v>
      </c>
      <c r="E26">
        <f t="shared" si="11"/>
        <v>11.743626776857214</v>
      </c>
      <c r="F26">
        <f t="shared" si="12"/>
        <v>3.4953881079574943E-2</v>
      </c>
      <c r="G26">
        <f t="shared" si="13"/>
        <v>1.742283454655057E-2</v>
      </c>
      <c r="H26">
        <v>4.608595313473654E-2</v>
      </c>
      <c r="I26">
        <f t="shared" si="20"/>
        <v>4.608595313473654E-2</v>
      </c>
      <c r="J26" s="6">
        <f t="shared" si="0"/>
        <v>91.286000336727184</v>
      </c>
      <c r="K26">
        <f t="shared" si="1"/>
        <v>463.97387166834147</v>
      </c>
      <c r="L26">
        <f t="shared" si="2"/>
        <v>0.66744849368896197</v>
      </c>
      <c r="M26" s="7"/>
      <c r="N26" s="6">
        <f t="shared" si="3"/>
        <v>10.02571139371201</v>
      </c>
      <c r="O26">
        <f t="shared" si="4"/>
        <v>16.301125790188522</v>
      </c>
      <c r="P26">
        <f t="shared" si="5"/>
        <v>2.7935781836291904E-2</v>
      </c>
      <c r="Q26" s="7"/>
      <c r="R26" s="6">
        <f t="shared" si="6"/>
        <v>152.54291470355668</v>
      </c>
      <c r="S26">
        <f t="shared" si="7"/>
        <v>568.66041018392627</v>
      </c>
      <c r="T26">
        <f t="shared" si="8"/>
        <v>0.23304560634554636</v>
      </c>
      <c r="U26" s="7"/>
      <c r="V26" s="6">
        <f t="shared" si="14"/>
        <v>59.84283210670732</v>
      </c>
      <c r="W26">
        <f t="shared" si="15"/>
        <v>81.590675798632574</v>
      </c>
      <c r="X26">
        <f t="shared" si="19"/>
        <v>286.40252187346908</v>
      </c>
      <c r="Y26" s="7"/>
      <c r="Z26" s="15">
        <f t="shared" si="16"/>
        <v>567.67094727561494</v>
      </c>
      <c r="AA26" s="15">
        <f t="shared" si="9"/>
        <v>76.711134673938616</v>
      </c>
      <c r="AB26" s="15">
        <f t="shared" si="10"/>
        <v>22.888865326061378</v>
      </c>
    </row>
    <row r="27" spans="2:28" x14ac:dyDescent="0.25">
      <c r="B27">
        <v>15</v>
      </c>
      <c r="C27">
        <f t="shared" si="17"/>
        <v>288.14999999999998</v>
      </c>
      <c r="D27">
        <f t="shared" si="18"/>
        <v>4.7603</v>
      </c>
      <c r="E27">
        <f t="shared" si="11"/>
        <v>12.526052701554667</v>
      </c>
      <c r="F27">
        <f t="shared" si="12"/>
        <v>3.4233908077705578E-2</v>
      </c>
      <c r="G27">
        <f t="shared" si="13"/>
        <v>1.7095833635919027E-2</v>
      </c>
      <c r="H27">
        <v>4.4596828478339047E-2</v>
      </c>
      <c r="I27">
        <f t="shared" si="20"/>
        <v>4.4596828478339047E-2</v>
      </c>
      <c r="J27" s="6">
        <f t="shared" si="0"/>
        <v>93.205835359415786</v>
      </c>
      <c r="K27">
        <f t="shared" si="1"/>
        <v>472.84854147245215</v>
      </c>
      <c r="L27">
        <f t="shared" si="2"/>
        <v>0.68973514596313323</v>
      </c>
      <c r="M27" s="7"/>
      <c r="N27" s="6">
        <f t="shared" si="3"/>
        <v>9.8086543902967165</v>
      </c>
      <c r="O27">
        <f t="shared" si="4"/>
        <v>15.977993022251365</v>
      </c>
      <c r="P27">
        <f t="shared" si="5"/>
        <v>2.7004080207844703E-2</v>
      </c>
      <c r="Q27" s="7"/>
      <c r="R27" s="6">
        <f t="shared" si="6"/>
        <v>152.37902776936954</v>
      </c>
      <c r="S27">
        <f t="shared" si="7"/>
        <v>568.04946072488542</v>
      </c>
      <c r="T27">
        <f t="shared" si="8"/>
        <v>0.23279523004964317</v>
      </c>
      <c r="U27" s="7"/>
      <c r="V27" s="6">
        <f t="shared" si="14"/>
        <v>61.167102011233297</v>
      </c>
      <c r="W27">
        <f t="shared" si="15"/>
        <v>83.240734155270957</v>
      </c>
      <c r="X27">
        <f t="shared" si="19"/>
        <v>296.2840543665987</v>
      </c>
      <c r="Y27" s="7"/>
      <c r="Z27" s="15">
        <f t="shared" si="16"/>
        <v>579.27016467938574</v>
      </c>
      <c r="AA27" s="15">
        <f t="shared" si="9"/>
        <v>78.278572874965562</v>
      </c>
      <c r="AB27" s="15">
        <f t="shared" si="10"/>
        <v>21.321427125034432</v>
      </c>
    </row>
    <row r="28" spans="2:28" x14ac:dyDescent="0.25">
      <c r="B28">
        <v>16</v>
      </c>
      <c r="C28">
        <f t="shared" si="17"/>
        <v>289.14999999999998</v>
      </c>
      <c r="D28">
        <f t="shared" si="18"/>
        <v>4.7603</v>
      </c>
      <c r="E28">
        <f t="shared" si="11"/>
        <v>13.360608205918695</v>
      </c>
      <c r="F28">
        <f t="shared" si="12"/>
        <v>3.3543190005946105E-2</v>
      </c>
      <c r="G28">
        <f t="shared" si="13"/>
        <v>1.6782076424369484E-2</v>
      </c>
      <c r="H28">
        <v>4.3174061580950218E-2</v>
      </c>
      <c r="I28">
        <f t="shared" si="20"/>
        <v>4.3174061580950218E-2</v>
      </c>
      <c r="J28" s="6">
        <f t="shared" si="0"/>
        <v>95.125120760260913</v>
      </c>
      <c r="K28">
        <f t="shared" si="1"/>
        <v>481.6889040179492</v>
      </c>
      <c r="L28">
        <f t="shared" si="2"/>
        <v>0.71246481970026887</v>
      </c>
      <c r="M28" s="7"/>
      <c r="N28" s="6">
        <f t="shared" si="3"/>
        <v>9.5997255054701291</v>
      </c>
      <c r="O28">
        <f t="shared" si="4"/>
        <v>15.666758153122306</v>
      </c>
      <c r="P28">
        <f t="shared" si="5"/>
        <v>2.6112582295532739E-2</v>
      </c>
      <c r="Q28" s="7"/>
      <c r="R28" s="6">
        <f t="shared" si="6"/>
        <v>152.20422177342547</v>
      </c>
      <c r="S28">
        <f t="shared" si="7"/>
        <v>567.39780640485787</v>
      </c>
      <c r="T28">
        <f t="shared" si="8"/>
        <v>0.23252817228824671</v>
      </c>
      <c r="U28" s="7"/>
      <c r="V28" s="6">
        <f t="shared" si="14"/>
        <v>62.498345743566986</v>
      </c>
      <c r="W28">
        <f t="shared" si="15"/>
        <v>84.894389541267913</v>
      </c>
      <c r="X28">
        <f t="shared" si="19"/>
        <v>306.39935483476933</v>
      </c>
      <c r="Y28" s="7"/>
      <c r="Z28" s="15">
        <f t="shared" si="16"/>
        <v>590.88709780382896</v>
      </c>
      <c r="AA28" s="15">
        <f t="shared" si="9"/>
        <v>79.84840505623913</v>
      </c>
      <c r="AB28" s="15">
        <f t="shared" si="10"/>
        <v>19.751594943760864</v>
      </c>
    </row>
    <row r="29" spans="2:28" x14ac:dyDescent="0.25">
      <c r="B29">
        <v>17</v>
      </c>
      <c r="C29">
        <f t="shared" si="17"/>
        <v>290.14999999999998</v>
      </c>
      <c r="D29">
        <f t="shared" si="18"/>
        <v>4.7603</v>
      </c>
      <c r="E29">
        <f t="shared" si="11"/>
        <v>14.250766453338228</v>
      </c>
      <c r="F29">
        <f t="shared" si="12"/>
        <v>3.2880369602256106E-2</v>
      </c>
      <c r="G29">
        <f t="shared" si="13"/>
        <v>1.6480967670815003E-2</v>
      </c>
      <c r="H29">
        <v>4.1813885911866404E-2</v>
      </c>
      <c r="I29">
        <f t="shared" si="20"/>
        <v>4.1813885911866404E-2</v>
      </c>
      <c r="J29" s="6">
        <f t="shared" si="0"/>
        <v>97.04270476877673</v>
      </c>
      <c r="K29">
        <f t="shared" si="1"/>
        <v>490.48940338102432</v>
      </c>
      <c r="L29">
        <f t="shared" si="2"/>
        <v>0.73564078844130076</v>
      </c>
      <c r="M29" s="7"/>
      <c r="N29" s="6">
        <f t="shared" si="3"/>
        <v>9.398505497805127</v>
      </c>
      <c r="O29">
        <f t="shared" si="4"/>
        <v>15.36681308040979</v>
      </c>
      <c r="P29">
        <f t="shared" si="5"/>
        <v>2.5258938840645652E-2</v>
      </c>
      <c r="Q29" s="7"/>
      <c r="R29" s="6">
        <f t="shared" si="6"/>
        <v>152.01776922692096</v>
      </c>
      <c r="S29">
        <f t="shared" si="7"/>
        <v>566.70273523894286</v>
      </c>
      <c r="T29">
        <f t="shared" si="8"/>
        <v>0.23224332164907244</v>
      </c>
      <c r="U29" s="7"/>
      <c r="V29" s="6">
        <f t="shared" si="14"/>
        <v>63.836422059264997</v>
      </c>
      <c r="W29">
        <f t="shared" si="15"/>
        <v>86.551444501889662</v>
      </c>
      <c r="X29">
        <f t="shared" si="19"/>
        <v>316.75433472867695</v>
      </c>
      <c r="Y29" s="7"/>
      <c r="Z29" s="15">
        <f t="shared" si="16"/>
        <v>602.51851539158054</v>
      </c>
      <c r="AA29" s="15">
        <f t="shared" si="9"/>
        <v>81.42019456793598</v>
      </c>
      <c r="AB29" s="15">
        <f t="shared" si="10"/>
        <v>18.179805432064015</v>
      </c>
    </row>
    <row r="30" spans="2:28" x14ac:dyDescent="0.25">
      <c r="B30">
        <v>18</v>
      </c>
      <c r="C30">
        <f t="shared" si="17"/>
        <v>291.14999999999998</v>
      </c>
      <c r="D30">
        <f t="shared" si="18"/>
        <v>4.7603</v>
      </c>
      <c r="E30">
        <f t="shared" si="11"/>
        <v>15.200232008721329</v>
      </c>
      <c r="F30">
        <f t="shared" si="12"/>
        <v>3.2244165462446683E-2</v>
      </c>
      <c r="G30">
        <f t="shared" si="13"/>
        <v>1.6191944901484987E-2</v>
      </c>
      <c r="H30">
        <v>4.0512783464652931E-2</v>
      </c>
      <c r="I30">
        <f t="shared" si="20"/>
        <v>4.0512783464652931E-2</v>
      </c>
      <c r="J30" s="6">
        <f t="shared" si="0"/>
        <v>98.957437856972305</v>
      </c>
      <c r="K30">
        <f t="shared" si="1"/>
        <v>499.24453480931925</v>
      </c>
      <c r="L30">
        <f t="shared" si="2"/>
        <v>0.7592665171189199</v>
      </c>
      <c r="M30" s="7"/>
      <c r="N30" s="6">
        <f t="shared" si="3"/>
        <v>9.2045957270776153</v>
      </c>
      <c r="O30">
        <f t="shared" si="4"/>
        <v>15.077578109379921</v>
      </c>
      <c r="P30">
        <f t="shared" si="5"/>
        <v>2.4440952259272414E-2</v>
      </c>
      <c r="Q30" s="7"/>
      <c r="R30" s="6">
        <f t="shared" si="6"/>
        <v>151.81889417169043</v>
      </c>
      <c r="S30">
        <f t="shared" si="7"/>
        <v>565.96135455467754</v>
      </c>
      <c r="T30">
        <f t="shared" si="8"/>
        <v>0.23193949267134986</v>
      </c>
      <c r="U30" s="7"/>
      <c r="V30" s="6">
        <f t="shared" si="14"/>
        <v>65.181240053732935</v>
      </c>
      <c r="W30">
        <f t="shared" si="15"/>
        <v>88.211771138003954</v>
      </c>
      <c r="X30">
        <f t="shared" si="19"/>
        <v>327.3554272168621</v>
      </c>
      <c r="Y30" s="7"/>
      <c r="Z30" s="15">
        <f t="shared" si="16"/>
        <v>614.16147119213178</v>
      </c>
      <c r="AA30" s="15">
        <f t="shared" si="9"/>
        <v>82.993543274092602</v>
      </c>
      <c r="AB30" s="15">
        <f t="shared" si="10"/>
        <v>16.606456725907393</v>
      </c>
    </row>
    <row r="31" spans="2:28" x14ac:dyDescent="0.25">
      <c r="B31">
        <v>19</v>
      </c>
      <c r="C31">
        <f t="shared" si="17"/>
        <v>292.14999999999998</v>
      </c>
      <c r="D31">
        <f t="shared" si="18"/>
        <v>4.7603</v>
      </c>
      <c r="E31">
        <f t="shared" si="11"/>
        <v>16.212956255755209</v>
      </c>
      <c r="F31">
        <f t="shared" si="12"/>
        <v>3.1633367270715911E-2</v>
      </c>
      <c r="G31">
        <f t="shared" si="13"/>
        <v>1.5914476384691453E-2</v>
      </c>
      <c r="H31">
        <v>3.9267466270020042E-2</v>
      </c>
      <c r="I31">
        <f t="shared" si="20"/>
        <v>3.9267466270020042E-2</v>
      </c>
      <c r="J31" s="6">
        <f t="shared" si="0"/>
        <v>100.86817418750843</v>
      </c>
      <c r="K31">
        <f t="shared" si="1"/>
        <v>507.94885138514263</v>
      </c>
      <c r="L31">
        <f t="shared" si="2"/>
        <v>0.78334567828952784</v>
      </c>
      <c r="M31" s="7"/>
      <c r="N31" s="6">
        <f t="shared" si="3"/>
        <v>9.0176166639401298</v>
      </c>
      <c r="O31">
        <f t="shared" si="4"/>
        <v>14.798499841378407</v>
      </c>
      <c r="P31">
        <f t="shared" si="5"/>
        <v>2.3656565196304394E-2</v>
      </c>
      <c r="Q31" s="7"/>
      <c r="R31" s="6">
        <f t="shared" si="6"/>
        <v>151.60676895090671</v>
      </c>
      <c r="S31">
        <f t="shared" si="7"/>
        <v>565.17057895362348</v>
      </c>
      <c r="T31">
        <f t="shared" si="8"/>
        <v>0.231615420912299</v>
      </c>
      <c r="U31" s="7"/>
      <c r="V31" s="6">
        <f t="shared" si="14"/>
        <v>66.53276425947152</v>
      </c>
      <c r="W31">
        <f t="shared" si="15"/>
        <v>89.875317346769336</v>
      </c>
      <c r="X31">
        <f t="shared" si="19"/>
        <v>338.20963872096456</v>
      </c>
      <c r="Y31" s="7"/>
      <c r="Z31" s="15">
        <f t="shared" si="16"/>
        <v>625.81332750669583</v>
      </c>
      <c r="AA31" s="15">
        <f t="shared" si="9"/>
        <v>84.568094734296068</v>
      </c>
      <c r="AB31" s="15">
        <f t="shared" si="10"/>
        <v>15.031905265703926</v>
      </c>
    </row>
    <row r="32" spans="2:28" x14ac:dyDescent="0.25">
      <c r="B32">
        <v>20</v>
      </c>
      <c r="C32">
        <f t="shared" si="17"/>
        <v>293.14999999999998</v>
      </c>
      <c r="D32">
        <f t="shared" si="18"/>
        <v>4.7603</v>
      </c>
      <c r="E32">
        <f t="shared" si="11"/>
        <v>17.293153841350097</v>
      </c>
      <c r="F32">
        <f t="shared" si="12"/>
        <v>3.1046831363521037E-2</v>
      </c>
      <c r="G32">
        <f t="shared" si="13"/>
        <v>1.5648059245191803E-2</v>
      </c>
      <c r="H32">
        <v>3.8074859432768303E-2</v>
      </c>
      <c r="I32">
        <f t="shared" si="20"/>
        <v>3.8074859432768303E-2</v>
      </c>
      <c r="J32" s="6">
        <f t="shared" si="0"/>
        <v>102.77377303466405</v>
      </c>
      <c r="K32">
        <f t="shared" si="1"/>
        <v>516.59697048270698</v>
      </c>
      <c r="L32">
        <f t="shared" si="2"/>
        <v>0.80788216839816018</v>
      </c>
      <c r="M32" s="7"/>
      <c r="N32" s="6">
        <f t="shared" si="3"/>
        <v>8.8372064898099527</v>
      </c>
      <c r="O32">
        <f t="shared" si="4"/>
        <v>14.529049181852804</v>
      </c>
      <c r="P32">
        <f t="shared" si="5"/>
        <v>2.2903850015652576E-2</v>
      </c>
      <c r="Q32" s="7"/>
      <c r="R32" s="6">
        <f t="shared" si="6"/>
        <v>151.38051076462801</v>
      </c>
      <c r="S32">
        <f t="shared" si="7"/>
        <v>564.32711747088763</v>
      </c>
      <c r="T32">
        <f t="shared" si="8"/>
        <v>0.23126975768490865</v>
      </c>
      <c r="U32" s="7"/>
      <c r="V32" s="6">
        <f t="shared" si="14"/>
        <v>67.891020129044549</v>
      </c>
      <c r="W32">
        <f t="shared" si="15"/>
        <v>91.542113517051931</v>
      </c>
      <c r="X32">
        <f t="shared" si="19"/>
        <v>349.32460538089543</v>
      </c>
      <c r="Y32" s="7"/>
      <c r="Z32" s="15">
        <f t="shared" si="16"/>
        <v>637.47177952711922</v>
      </c>
      <c r="AA32" s="15">
        <f t="shared" si="9"/>
        <v>86.143537492676543</v>
      </c>
      <c r="AB32" s="15">
        <f t="shared" si="10"/>
        <v>13.456462507323451</v>
      </c>
    </row>
    <row r="33" spans="2:28" x14ac:dyDescent="0.25">
      <c r="B33">
        <v>21</v>
      </c>
      <c r="C33">
        <f t="shared" si="17"/>
        <v>294.14999999999998</v>
      </c>
      <c r="D33">
        <f t="shared" si="18"/>
        <v>4.7603</v>
      </c>
      <c r="E33">
        <f t="shared" si="11"/>
        <v>18.44532021570372</v>
      </c>
      <c r="F33">
        <f t="shared" si="12"/>
        <v>3.0483476601355284E-2</v>
      </c>
      <c r="G33">
        <f t="shared" si="13"/>
        <v>1.539221770763401E-2</v>
      </c>
      <c r="H33">
        <v>3.6932085555799077E-2</v>
      </c>
      <c r="I33">
        <f t="shared" si="20"/>
        <v>3.6932085555799077E-2</v>
      </c>
      <c r="J33" s="6">
        <f t="shared" si="0"/>
        <v>104.6731001757896</v>
      </c>
      <c r="K33">
        <f t="shared" si="1"/>
        <v>525.18358001074421</v>
      </c>
      <c r="L33">
        <f t="shared" si="2"/>
        <v>0.83288012407330914</v>
      </c>
      <c r="M33" s="7"/>
      <c r="N33" s="6">
        <f t="shared" si="3"/>
        <v>8.6630197790658929</v>
      </c>
      <c r="O33">
        <f t="shared" si="4"/>
        <v>14.268719457029407</v>
      </c>
      <c r="P33">
        <f t="shared" si="5"/>
        <v>2.2180999142221252E-2</v>
      </c>
      <c r="Q33" s="7"/>
      <c r="R33" s="6">
        <f t="shared" si="6"/>
        <v>151.13917799585587</v>
      </c>
      <c r="S33">
        <f t="shared" si="7"/>
        <v>563.42745987913736</v>
      </c>
      <c r="T33">
        <f t="shared" si="8"/>
        <v>0.23090106444511546</v>
      </c>
      <c r="U33" s="7"/>
      <c r="V33" s="6">
        <f t="shared" si="14"/>
        <v>69.256099949583998</v>
      </c>
      <c r="W33">
        <f t="shared" si="15"/>
        <v>93.212279735780541</v>
      </c>
      <c r="X33">
        <f t="shared" si="19"/>
        <v>360.70865505744882</v>
      </c>
      <c r="Y33" s="7"/>
      <c r="Z33" s="15">
        <f t="shared" si="16"/>
        <v>649.13488052631089</v>
      </c>
      <c r="AA33" s="15">
        <f t="shared" si="9"/>
        <v>87.719608481968081</v>
      </c>
      <c r="AB33" s="15">
        <f t="shared" si="10"/>
        <v>11.880391518031914</v>
      </c>
    </row>
    <row r="34" spans="2:28" x14ac:dyDescent="0.25">
      <c r="B34">
        <v>22</v>
      </c>
      <c r="C34">
        <f t="shared" si="17"/>
        <v>295.14999999999998</v>
      </c>
      <c r="D34">
        <f t="shared" si="18"/>
        <v>4.7603</v>
      </c>
      <c r="E34">
        <f t="shared" si="11"/>
        <v>19.674250340982692</v>
      </c>
      <c r="F34">
        <f t="shared" si="12"/>
        <v>2.9942280525075513E-2</v>
      </c>
      <c r="G34">
        <f t="shared" si="13"/>
        <v>1.5146501459418843E-2</v>
      </c>
      <c r="H34">
        <v>3.5836450427384557E-2</v>
      </c>
      <c r="I34">
        <f t="shared" si="20"/>
        <v>3.5836450427384557E-2</v>
      </c>
      <c r="J34" s="6">
        <f t="shared" si="0"/>
        <v>106.56502925112292</v>
      </c>
      <c r="K34">
        <f t="shared" si="1"/>
        <v>533.70344443291435</v>
      </c>
      <c r="L34">
        <f t="shared" si="2"/>
        <v>0.85834393845252688</v>
      </c>
      <c r="M34" s="7"/>
      <c r="N34" s="6">
        <f t="shared" si="3"/>
        <v>8.4947262562175858</v>
      </c>
      <c r="O34">
        <f t="shared" si="4"/>
        <v>14.01702462903576</v>
      </c>
      <c r="P34">
        <f t="shared" si="5"/>
        <v>2.1486316179309926E-2</v>
      </c>
      <c r="Q34" s="7"/>
      <c r="R34" s="6">
        <f t="shared" si="6"/>
        <v>150.88176629181496</v>
      </c>
      <c r="S34">
        <f t="shared" si="7"/>
        <v>562.46786208011451</v>
      </c>
      <c r="T34">
        <f t="shared" si="8"/>
        <v>0.23050780680502622</v>
      </c>
      <c r="U34" s="7"/>
      <c r="V34" s="6">
        <f t="shared" si="14"/>
        <v>70.628169241483661</v>
      </c>
      <c r="W34">
        <f t="shared" si="15"/>
        <v>94.886033569842766</v>
      </c>
      <c r="X34">
        <f t="shared" si="19"/>
        <v>372.37087556802464</v>
      </c>
      <c r="Y34" s="7"/>
      <c r="Z34" s="15">
        <f t="shared" si="16"/>
        <v>660.80106796347252</v>
      </c>
      <c r="AA34" s="15">
        <f t="shared" si="9"/>
        <v>89.296096551189308</v>
      </c>
      <c r="AB34" s="15">
        <f t="shared" si="10"/>
        <v>10.303903448810686</v>
      </c>
    </row>
    <row r="35" spans="2:28" x14ac:dyDescent="0.25">
      <c r="B35">
        <v>23</v>
      </c>
      <c r="C35">
        <f t="shared" si="17"/>
        <v>296.14999999999998</v>
      </c>
      <c r="D35">
        <f t="shared" si="18"/>
        <v>4.7603</v>
      </c>
      <c r="E35">
        <f t="shared" si="11"/>
        <v>20.985058646480642</v>
      </c>
      <c r="F35">
        <f t="shared" si="12"/>
        <v>2.9422275775357425E-2</v>
      </c>
      <c r="G35">
        <f t="shared" si="13"/>
        <v>1.4910484124103406E-2</v>
      </c>
      <c r="H35">
        <v>3.4785429859865977E-2</v>
      </c>
      <c r="I35">
        <f t="shared" si="20"/>
        <v>3.4785429859865977E-2</v>
      </c>
      <c r="J35" s="6">
        <f t="shared" si="0"/>
        <v>108.44844308992744</v>
      </c>
      <c r="K35">
        <f t="shared" si="1"/>
        <v>542.15141055898414</v>
      </c>
      <c r="L35">
        <f t="shared" si="2"/>
        <v>0.88427827754084032</v>
      </c>
      <c r="M35" s="7"/>
      <c r="N35" s="6">
        <f t="shared" si="3"/>
        <v>8.3320096212349846</v>
      </c>
      <c r="O35">
        <f t="shared" si="4"/>
        <v>13.773497599934277</v>
      </c>
      <c r="P35">
        <f t="shared" si="5"/>
        <v>2.0818207732488117E-2</v>
      </c>
      <c r="Q35" s="7"/>
      <c r="R35" s="6">
        <f t="shared" si="6"/>
        <v>150.60720438414535</v>
      </c>
      <c r="S35">
        <f t="shared" si="7"/>
        <v>561.44433052284944</v>
      </c>
      <c r="T35">
        <f t="shared" si="8"/>
        <v>0.23008834814726686</v>
      </c>
      <c r="U35" s="7"/>
      <c r="V35" s="6">
        <f t="shared" si="14"/>
        <v>72.007473701798546</v>
      </c>
      <c r="W35">
        <f t="shared" si="15"/>
        <v>96.563698497783633</v>
      </c>
      <c r="X35">
        <f t="shared" si="19"/>
        <v>384.32118995215808</v>
      </c>
      <c r="Y35" s="7"/>
      <c r="Z35" s="15">
        <f t="shared" si="16"/>
        <v>672.46919057293303</v>
      </c>
      <c r="AA35" s="15">
        <f t="shared" si="9"/>
        <v>90.872846126241598</v>
      </c>
      <c r="AB35" s="15">
        <f t="shared" si="10"/>
        <v>8.7271538737583967</v>
      </c>
    </row>
    <row r="36" spans="2:28" x14ac:dyDescent="0.25">
      <c r="B36">
        <v>24</v>
      </c>
      <c r="C36">
        <f t="shared" si="17"/>
        <v>297.14999999999998</v>
      </c>
      <c r="D36">
        <f t="shared" si="18"/>
        <v>4.7603</v>
      </c>
      <c r="E36">
        <f t="shared" si="11"/>
        <v>22.383200313300286</v>
      </c>
      <c r="F36">
        <f t="shared" si="12"/>
        <v>2.8922546755592037E-2</v>
      </c>
      <c r="G36">
        <f t="shared" si="13"/>
        <v>1.4683761837181281E-2</v>
      </c>
      <c r="H36">
        <v>3.3776657578629694E-2</v>
      </c>
      <c r="I36">
        <f t="shared" si="20"/>
        <v>3.3776657578629694E-2</v>
      </c>
      <c r="J36" s="6">
        <f t="shared" si="0"/>
        <v>110.32223500107487</v>
      </c>
      <c r="K36">
        <f t="shared" si="1"/>
        <v>550.52241310063152</v>
      </c>
      <c r="L36">
        <f t="shared" si="2"/>
        <v>0.91068809660615102</v>
      </c>
      <c r="M36" s="7"/>
      <c r="N36" s="6">
        <f t="shared" si="3"/>
        <v>8.1745664366904141</v>
      </c>
      <c r="O36">
        <f t="shared" si="4"/>
        <v>13.537688595727086</v>
      </c>
      <c r="P36">
        <f t="shared" si="5"/>
        <v>2.0175175877565271E-2</v>
      </c>
      <c r="Q36" s="7"/>
      <c r="R36" s="6">
        <f t="shared" si="6"/>
        <v>150.31434963061329</v>
      </c>
      <c r="S36">
        <f t="shared" si="7"/>
        <v>560.35260558373</v>
      </c>
      <c r="T36">
        <f t="shared" si="8"/>
        <v>0.22964094281388456</v>
      </c>
      <c r="U36" s="7"/>
      <c r="V36" s="6">
        <f>(J36/R36)*100</f>
        <v>73.394346762091473</v>
      </c>
      <c r="W36">
        <f t="shared" si="15"/>
        <v>98.245713076883419</v>
      </c>
      <c r="X36">
        <f>((L36/T36)*100)</f>
        <v>396.57043968166852</v>
      </c>
      <c r="Y36" s="7"/>
      <c r="Z36" s="15">
        <f>J36+K36+L36+E36</f>
        <v>684.13853651161287</v>
      </c>
      <c r="AA36" s="15">
        <f t="shared" si="9"/>
        <v>92.449761013563148</v>
      </c>
      <c r="AB36" s="15">
        <f t="shared" si="10"/>
        <v>7.1502389864368467</v>
      </c>
    </row>
    <row r="37" spans="2:28" s="11" customFormat="1" x14ac:dyDescent="0.25">
      <c r="B37" s="11">
        <v>25</v>
      </c>
      <c r="C37" s="11">
        <f t="shared" si="17"/>
        <v>298.14999999999998</v>
      </c>
      <c r="D37" s="11">
        <f t="shared" si="18"/>
        <v>4.7603</v>
      </c>
      <c r="E37" s="11">
        <f t="shared" si="11"/>
        <v>23.874493977139721</v>
      </c>
      <c r="F37" s="11">
        <f>EXP($E$4+$F$4*(100/C37)+$G$4*LN(C37/100))</f>
        <v>2.844222652012731E-2</v>
      </c>
      <c r="G37" s="11">
        <f t="shared" si="13"/>
        <v>1.446595191672786E-2</v>
      </c>
      <c r="H37" s="11">
        <v>3.2807914069777677E-2</v>
      </c>
      <c r="I37">
        <f t="shared" si="20"/>
        <v>3.2807914069777677E-2</v>
      </c>
      <c r="J37" s="12">
        <f t="shared" si="0"/>
        <v>112.18531002634452</v>
      </c>
      <c r="K37" s="11">
        <f t="shared" si="1"/>
        <v>558.81147998648328</v>
      </c>
      <c r="L37" s="11">
        <f t="shared" si="2"/>
        <v>0.9375786566185812</v>
      </c>
      <c r="M37" s="13"/>
      <c r="N37" s="12">
        <f t="shared" si="3"/>
        <v>8.022105070784173</v>
      </c>
      <c r="O37" s="11">
        <f t="shared" si="4"/>
        <v>13.309163621925343</v>
      </c>
      <c r="P37" s="11">
        <f t="shared" si="5"/>
        <v>1.9555811216169866E-2</v>
      </c>
      <c r="Q37" s="13"/>
      <c r="R37" s="12">
        <f t="shared" si="6"/>
        <v>150.0019832597855</v>
      </c>
      <c r="S37" s="11">
        <f t="shared" si="7"/>
        <v>559.18814383925758</v>
      </c>
      <c r="T37" s="11">
        <f t="shared" si="8"/>
        <v>0.22916372884145594</v>
      </c>
      <c r="U37" s="13"/>
      <c r="V37" s="12">
        <f t="shared" si="14"/>
        <v>74.789217841242134</v>
      </c>
      <c r="W37" s="11">
        <f t="shared" si="15"/>
        <v>99.932640944389803</v>
      </c>
      <c r="X37" s="11">
        <f t="shared" si="19"/>
        <v>409.13047686845471</v>
      </c>
      <c r="Y37" s="13"/>
      <c r="Z37" s="17">
        <f>J37+K37+L37+E37</f>
        <v>695.80886264658614</v>
      </c>
      <c r="AA37" s="17">
        <f t="shared" si="9"/>
        <v>94.026808357848083</v>
      </c>
      <c r="AB37" s="17">
        <f t="shared" si="10"/>
        <v>5.5731916421519117</v>
      </c>
    </row>
    <row r="38" spans="2:28" x14ac:dyDescent="0.25">
      <c r="B38">
        <v>26</v>
      </c>
      <c r="C38">
        <f t="shared" si="17"/>
        <v>299.14999999999998</v>
      </c>
      <c r="D38">
        <f t="shared" si="18"/>
        <v>4.7603</v>
      </c>
      <c r="E38">
        <f t="shared" si="11"/>
        <v>25.465145943665046</v>
      </c>
      <c r="F38">
        <f t="shared" si="12"/>
        <v>2.7980493871224268E-2</v>
      </c>
      <c r="G38">
        <f t="shared" si="13"/>
        <v>1.4256691621998671E-2</v>
      </c>
      <c r="H38">
        <v>3.1877116303568404E-2</v>
      </c>
      <c r="I38">
        <f t="shared" si="20"/>
        <v>3.1877116303568404E-2</v>
      </c>
      <c r="J38" s="6">
        <f t="shared" si="0"/>
        <v>114.03658615481004</v>
      </c>
      <c r="K38">
        <f t="shared" si="1"/>
        <v>567.01373743165288</v>
      </c>
      <c r="L38">
        <f t="shared" si="2"/>
        <v>0.96495554074182832</v>
      </c>
      <c r="M38" s="7"/>
      <c r="N38" s="6">
        <f t="shared" si="3"/>
        <v>7.8743446907037224</v>
      </c>
      <c r="O38">
        <f t="shared" si="4"/>
        <v>13.087502982751431</v>
      </c>
      <c r="P38">
        <f t="shared" si="5"/>
        <v>1.895878646778364E-2</v>
      </c>
      <c r="Q38" s="7"/>
      <c r="R38" s="6">
        <f t="shared" si="6"/>
        <v>149.66880529887712</v>
      </c>
      <c r="S38">
        <f t="shared" si="7"/>
        <v>557.94609915771605</v>
      </c>
      <c r="T38">
        <f t="shared" si="8"/>
        <v>0.22865472021216787</v>
      </c>
      <c r="U38" s="7"/>
      <c r="V38" s="6">
        <f t="shared" si="14"/>
        <v>76.192621386325442</v>
      </c>
      <c r="W38">
        <f t="shared" si="15"/>
        <v>101.62518176713225</v>
      </c>
      <c r="X38">
        <f t="shared" si="19"/>
        <v>422.01426668404201</v>
      </c>
      <c r="Y38" s="7"/>
      <c r="Z38" s="15">
        <f t="shared" si="16"/>
        <v>707.48042507086973</v>
      </c>
      <c r="AA38" s="15">
        <f t="shared" si="9"/>
        <v>95.604022765739543</v>
      </c>
      <c r="AB38" s="15">
        <f t="shared" si="10"/>
        <v>3.9959772342604509</v>
      </c>
    </row>
    <row r="39" spans="2:28" x14ac:dyDescent="0.25">
      <c r="B39">
        <v>27</v>
      </c>
      <c r="C39">
        <f t="shared" si="17"/>
        <v>300.14999999999998</v>
      </c>
      <c r="D39">
        <f t="shared" si="18"/>
        <v>4.7603</v>
      </c>
      <c r="E39">
        <f t="shared" si="11"/>
        <v>27.161776017246101</v>
      </c>
      <c r="F39">
        <f t="shared" si="12"/>
        <v>2.7536570649408735E-2</v>
      </c>
      <c r="G39">
        <f t="shared" si="13"/>
        <v>1.4055636993609229E-2</v>
      </c>
      <c r="H39">
        <v>3.0982308258401627E-2</v>
      </c>
      <c r="I39">
        <f t="shared" si="20"/>
        <v>3.0982308258401627E-2</v>
      </c>
      <c r="J39" s="6">
        <f t="shared" si="0"/>
        <v>115.8749954968889</v>
      </c>
      <c r="K39">
        <f t="shared" si="1"/>
        <v>575.12441475797141</v>
      </c>
      <c r="L39">
        <f t="shared" si="2"/>
        <v>0.99282467088805937</v>
      </c>
      <c r="M39" s="7"/>
      <c r="N39" s="6">
        <f t="shared" si="3"/>
        <v>7.7310143010971348</v>
      </c>
      <c r="O39">
        <f t="shared" si="4"/>
        <v>12.872299856455028</v>
      </c>
      <c r="P39">
        <f t="shared" si="5"/>
        <v>1.8382850551818167E-2</v>
      </c>
      <c r="Q39" s="7"/>
      <c r="R39" s="6">
        <f t="shared" si="6"/>
        <v>149.31342916366484</v>
      </c>
      <c r="S39">
        <f t="shared" si="7"/>
        <v>556.62130253106102</v>
      </c>
      <c r="T39">
        <f t="shared" si="8"/>
        <v>0.22811179858862191</v>
      </c>
      <c r="U39" s="7"/>
      <c r="V39" s="6">
        <f t="shared" si="14"/>
        <v>77.605206809547241</v>
      </c>
      <c r="W39">
        <f t="shared" si="15"/>
        <v>103.32418327196126</v>
      </c>
      <c r="X39">
        <f t="shared" si="19"/>
        <v>435.236001395318</v>
      </c>
      <c r="Y39" s="7"/>
      <c r="Z39" s="15">
        <f t="shared" si="16"/>
        <v>719.15401094299443</v>
      </c>
      <c r="AA39" s="15">
        <f t="shared" si="9"/>
        <v>97.181510608409724</v>
      </c>
      <c r="AB39" s="15">
        <f t="shared" si="10"/>
        <v>2.4184893915902705</v>
      </c>
    </row>
    <row r="40" spans="2:28" x14ac:dyDescent="0.25">
      <c r="B40">
        <v>28</v>
      </c>
      <c r="C40">
        <f t="shared" si="17"/>
        <v>301.14999999999998</v>
      </c>
      <c r="D40">
        <f t="shared" si="18"/>
        <v>4.7603</v>
      </c>
      <c r="E40">
        <f t="shared" si="11"/>
        <v>28.971445050546759</v>
      </c>
      <c r="F40">
        <f t="shared" si="12"/>
        <v>2.7109719203137816E-2</v>
      </c>
      <c r="G40">
        <f t="shared" si="13"/>
        <v>1.3862461769432963E-2</v>
      </c>
      <c r="H40">
        <v>3.0121652177172289E-2</v>
      </c>
      <c r="I40">
        <f t="shared" si="20"/>
        <v>3.0121652177172289E-2</v>
      </c>
      <c r="J40" s="6">
        <f t="shared" si="0"/>
        <v>117.69948541667968</v>
      </c>
      <c r="K40">
        <f t="shared" si="1"/>
        <v>583.13884896150455</v>
      </c>
      <c r="L40">
        <f t="shared" si="2"/>
        <v>1.0211923243477157</v>
      </c>
      <c r="M40" s="7"/>
      <c r="N40" s="6">
        <f t="shared" si="3"/>
        <v>7.5918518227466354</v>
      </c>
      <c r="O40">
        <f t="shared" si="4"/>
        <v>12.663158919597281</v>
      </c>
      <c r="P40">
        <f t="shared" si="5"/>
        <v>1.7826823117662281E-2</v>
      </c>
      <c r="Q40" s="7"/>
      <c r="R40" s="6">
        <f t="shared" si="6"/>
        <v>148.93437588794967</v>
      </c>
      <c r="S40">
        <f t="shared" si="7"/>
        <v>555.20824056309846</v>
      </c>
      <c r="T40">
        <f t="shared" si="8"/>
        <v>0.2275327044979657</v>
      </c>
      <c r="U40" s="7"/>
      <c r="V40" s="6">
        <f t="shared" si="14"/>
        <v>79.027749446662682</v>
      </c>
      <c r="W40">
        <f t="shared" si="15"/>
        <v>105.03065451083337</v>
      </c>
      <c r="X40">
        <f t="shared" si="19"/>
        <v>448.81122764347305</v>
      </c>
      <c r="Y40" s="7"/>
      <c r="Z40" s="15">
        <f t="shared" si="16"/>
        <v>730.83097175307864</v>
      </c>
      <c r="AA40" s="15">
        <f t="shared" si="9"/>
        <v>98.759454516907425</v>
      </c>
      <c r="AB40" s="15">
        <f t="shared" si="10"/>
        <v>0.84054548309256916</v>
      </c>
    </row>
    <row r="41" spans="2:28" x14ac:dyDescent="0.25">
      <c r="B41">
        <v>29</v>
      </c>
      <c r="C41">
        <f t="shared" si="17"/>
        <v>302.14999999999998</v>
      </c>
      <c r="D41">
        <f t="shared" si="18"/>
        <v>4.7603</v>
      </c>
      <c r="E41">
        <f t="shared" si="11"/>
        <v>30.901684329622505</v>
      </c>
      <c r="F41">
        <f t="shared" si="12"/>
        <v>2.6699240024786353E-2</v>
      </c>
      <c r="G41">
        <f t="shared" si="13"/>
        <v>1.3676856370800414E-2</v>
      </c>
      <c r="H41">
        <v>2.9293420494005476E-2</v>
      </c>
      <c r="I41">
        <f t="shared" si="20"/>
        <v>2.9293420494005476E-2</v>
      </c>
      <c r="J41" s="6">
        <f t="shared" si="0"/>
        <v>119.50901962145018</v>
      </c>
      <c r="K41">
        <f t="shared" si="1"/>
        <v>591.05248902507219</v>
      </c>
      <c r="L41">
        <f t="shared" si="2"/>
        <v>1.0500651505103216</v>
      </c>
      <c r="M41" s="7"/>
      <c r="N41" s="6">
        <f t="shared" si="3"/>
        <v>7.4566032067849441</v>
      </c>
      <c r="O41">
        <f t="shared" si="4"/>
        <v>12.459695013464561</v>
      </c>
      <c r="P41">
        <f t="shared" si="5"/>
        <v>1.7289589484440666E-2</v>
      </c>
      <c r="Q41" s="7"/>
      <c r="R41" s="6">
        <f t="shared" si="6"/>
        <v>148.53006796855445</v>
      </c>
      <c r="S41">
        <f t="shared" si="7"/>
        <v>553.70103252442493</v>
      </c>
      <c r="T41">
        <f t="shared" si="8"/>
        <v>0.22691502792866144</v>
      </c>
      <c r="U41" s="7"/>
      <c r="V41" s="6">
        <f t="shared" si="14"/>
        <v>80.461162683068082</v>
      </c>
      <c r="W41">
        <f t="shared" si="15"/>
        <v>106.74578053978969</v>
      </c>
      <c r="X41">
        <f t="shared" si="19"/>
        <v>462.75698885859856</v>
      </c>
      <c r="Y41" s="7"/>
      <c r="Z41" s="15">
        <f t="shared" si="16"/>
        <v>742.51325812665527</v>
      </c>
      <c r="AA41" s="15">
        <f t="shared" si="9"/>
        <v>100.3381180853071</v>
      </c>
      <c r="AB41" s="15">
        <f t="shared" si="10"/>
        <v>-0.73811808530710721</v>
      </c>
    </row>
    <row r="42" spans="2:28" x14ac:dyDescent="0.25">
      <c r="B42">
        <v>30</v>
      </c>
      <c r="C42">
        <f t="shared" si="17"/>
        <v>303.14999999999998</v>
      </c>
      <c r="D42">
        <f t="shared" si="18"/>
        <v>4.7603</v>
      </c>
      <c r="E42">
        <f t="shared" si="11"/>
        <v>32.960526916817209</v>
      </c>
      <c r="F42">
        <f t="shared" si="12"/>
        <v>2.630446954100189E-2</v>
      </c>
      <c r="G42">
        <f t="shared" si="13"/>
        <v>1.3498526954014612E-2</v>
      </c>
      <c r="H42">
        <v>2.8495988375138507E-2</v>
      </c>
      <c r="I42">
        <f t="shared" si="20"/>
        <v>2.8495988375138507E-2</v>
      </c>
      <c r="J42" s="6">
        <f t="shared" si="0"/>
        <v>121.30257920717105</v>
      </c>
      <c r="K42">
        <f t="shared" si="1"/>
        <v>598.86089997366753</v>
      </c>
      <c r="L42">
        <f t="shared" si="2"/>
        <v>1.0794501876915679</v>
      </c>
      <c r="M42" s="7"/>
      <c r="N42" s="6">
        <f t="shared" si="3"/>
        <v>7.325021580036899</v>
      </c>
      <c r="O42">
        <f t="shared" si="4"/>
        <v>12.261531846056515</v>
      </c>
      <c r="P42">
        <f t="shared" si="5"/>
        <v>1.6770095955766059E-2</v>
      </c>
      <c r="Q42" s="7"/>
      <c r="R42" s="6">
        <f t="shared" si="6"/>
        <v>148.09882280024067</v>
      </c>
      <c r="S42">
        <f t="shared" si="7"/>
        <v>552.09340587863983</v>
      </c>
      <c r="T42">
        <f t="shared" si="8"/>
        <v>0.22625619830075916</v>
      </c>
      <c r="U42" s="7"/>
      <c r="V42" s="6">
        <f t="shared" si="14"/>
        <v>81.906511418248712</v>
      </c>
      <c r="W42">
        <f t="shared" si="15"/>
        <v>108.47093872106635</v>
      </c>
      <c r="X42">
        <f t="shared" si="19"/>
        <v>477.09198501455859</v>
      </c>
      <c r="Y42" s="7"/>
      <c r="Z42" s="15">
        <f t="shared" si="16"/>
        <v>754.20345628534733</v>
      </c>
      <c r="AA42" s="15">
        <f t="shared" si="9"/>
        <v>101.91785079775303</v>
      </c>
      <c r="AB42" s="15">
        <f t="shared" si="10"/>
        <v>-2.3178507977530387</v>
      </c>
    </row>
    <row r="43" spans="2:28" x14ac:dyDescent="0.25">
      <c r="B43">
        <v>31</v>
      </c>
      <c r="C43">
        <f t="shared" si="17"/>
        <v>304.14999999999998</v>
      </c>
      <c r="D43">
        <f t="shared" si="18"/>
        <v>4.7603</v>
      </c>
      <c r="E43">
        <f t="shared" si="11"/>
        <v>35.156541081898474</v>
      </c>
      <c r="F43">
        <f t="shared" si="12"/>
        <v>2.5924778046386533E-2</v>
      </c>
      <c r="G43">
        <f t="shared" si="13"/>
        <v>1.3327194522569683E-2</v>
      </c>
      <c r="H43">
        <v>2.7727826822753401E-2</v>
      </c>
      <c r="I43">
        <f t="shared" si="20"/>
        <v>2.7727826822753401E-2</v>
      </c>
      <c r="J43" s="6">
        <f t="shared" si="0"/>
        <v>123.07916365921378</v>
      </c>
      <c r="K43">
        <f t="shared" si="1"/>
        <v>606.55976667183324</v>
      </c>
      <c r="L43">
        <f t="shared" si="2"/>
        <v>1.1093548800859649</v>
      </c>
      <c r="M43" s="7"/>
      <c r="N43" s="6">
        <f t="shared" si="3"/>
        <v>7.1968664172649479</v>
      </c>
      <c r="O43">
        <f t="shared" si="4"/>
        <v>12.0683007233109</v>
      </c>
      <c r="P43">
        <f t="shared" si="5"/>
        <v>1.6267345477871245E-2</v>
      </c>
      <c r="Q43" s="7"/>
      <c r="R43" s="6">
        <f t="shared" si="6"/>
        <v>147.63884567322273</v>
      </c>
      <c r="S43">
        <f t="shared" si="7"/>
        <v>550.37867017797782</v>
      </c>
      <c r="T43">
        <f t="shared" si="8"/>
        <v>0.22555347376793317</v>
      </c>
      <c r="U43" s="7"/>
      <c r="V43" s="6">
        <f t="shared" si="14"/>
        <v>83.365027068574989</v>
      </c>
      <c r="W43">
        <f t="shared" si="15"/>
        <v>110.20771689347771</v>
      </c>
      <c r="X43">
        <f t="shared" si="19"/>
        <v>491.83675230262907</v>
      </c>
      <c r="Y43" s="7"/>
      <c r="Z43" s="15">
        <f t="shared" si="16"/>
        <v>765.90482629303153</v>
      </c>
      <c r="AA43" s="15">
        <f t="shared" si="9"/>
        <v>103.49909319678186</v>
      </c>
      <c r="AB43" s="15">
        <f t="shared" si="10"/>
        <v>-3.8990931967818625</v>
      </c>
    </row>
    <row r="44" spans="2:28" x14ac:dyDescent="0.25">
      <c r="B44">
        <v>32</v>
      </c>
      <c r="C44">
        <f t="shared" si="17"/>
        <v>305.14999999999998</v>
      </c>
      <c r="D44">
        <f t="shared" si="18"/>
        <v>4.7603</v>
      </c>
      <c r="E44">
        <f t="shared" si="11"/>
        <v>37.498865960561709</v>
      </c>
      <c r="F44">
        <f t="shared" si="12"/>
        <v>2.555956777033655E-2</v>
      </c>
      <c r="G44">
        <f t="shared" si="13"/>
        <v>1.3162594095824081E-2</v>
      </c>
      <c r="H44">
        <v>2.6987496295219654E-2</v>
      </c>
      <c r="I44">
        <f t="shared" si="20"/>
        <v>2.6987496295219654E-2</v>
      </c>
      <c r="J44" s="6">
        <f t="shared" ref="J44:J62" si="21">($N$4/F44)*$I$4</f>
        <v>124.83779180738415</v>
      </c>
      <c r="K44">
        <f t="shared" ref="K44:K62" si="22">($N$5/G44)*$I$5</f>
        <v>614.14489736218638</v>
      </c>
      <c r="L44">
        <f t="shared" ref="L44:L62" si="23">($N$6/H44)*$I$6</f>
        <v>1.1397870948646902</v>
      </c>
      <c r="M44" s="7"/>
      <c r="N44" s="6">
        <f t="shared" ref="N44:N62" si="24">1000*$D$4*F44*$C$4*(($R$3-E44)/760)</f>
        <v>7.0719027362770817</v>
      </c>
      <c r="O44">
        <f t="shared" ref="O44:O62" si="25">1000*$D$5*G44*$C$5*(($R$3-E44)/760)</f>
        <v>11.879639303426735</v>
      </c>
      <c r="P44">
        <f t="shared" ref="P44:P62" si="26">1000*$D$6*H44*$C$6*(($R$3-E44)/760)</f>
        <v>1.5780393612374443E-2</v>
      </c>
      <c r="Q44" s="7"/>
      <c r="R44" s="6">
        <f t="shared" ref="R44:R62" si="27">$C$4*($R$3-E44)</f>
        <v>147.14822230413793</v>
      </c>
      <c r="S44">
        <f t="shared" ref="S44:S62" si="28">$C$5*($R$3-E44)</f>
        <v>548.54968921972238</v>
      </c>
      <c r="T44">
        <f t="shared" ref="T44:T62" si="29">$C$6*($R$3-E44)</f>
        <v>0.22480392980676092</v>
      </c>
      <c r="U44" s="7"/>
      <c r="V44" s="6">
        <f t="shared" si="14"/>
        <v>84.83812434332998</v>
      </c>
      <c r="W44">
        <f t="shared" si="15"/>
        <v>111.95793369890868</v>
      </c>
      <c r="X44">
        <f t="shared" si="19"/>
        <v>507.01386574711529</v>
      </c>
      <c r="Y44" s="7"/>
      <c r="Z44" s="15">
        <f t="shared" si="16"/>
        <v>777.62134222499697</v>
      </c>
      <c r="AA44" s="15">
        <f t="shared" ref="AA44:AA75" si="30">(Z44/$R$3)*100</f>
        <v>105.08238231150551</v>
      </c>
      <c r="AB44" s="15">
        <f t="shared" ref="AB44:AB75" si="31">$O$4-AA44</f>
        <v>-5.4823823115055177</v>
      </c>
    </row>
    <row r="45" spans="2:28" x14ac:dyDescent="0.25">
      <c r="B45">
        <v>33</v>
      </c>
      <c r="C45">
        <f t="shared" si="17"/>
        <v>306.14999999999998</v>
      </c>
      <c r="D45">
        <f t="shared" si="18"/>
        <v>4.7603</v>
      </c>
      <c r="E45">
        <f t="shared" si="11"/>
        <v>39.997249588702708</v>
      </c>
      <c r="F45">
        <f t="shared" si="12"/>
        <v>2.520827106764012E-2</v>
      </c>
      <c r="G45">
        <f t="shared" si="13"/>
        <v>1.3004473930192322E-2</v>
      </c>
      <c r="H45">
        <v>2.6273640801336512E-2</v>
      </c>
      <c r="I45">
        <f t="shared" si="20"/>
        <v>2.6273640801336512E-2</v>
      </c>
      <c r="J45" s="6">
        <f t="shared" si="21"/>
        <v>126.57750273464939</v>
      </c>
      <c r="K45">
        <f t="shared" si="22"/>
        <v>621.61222694538105</v>
      </c>
      <c r="L45">
        <f t="shared" si="23"/>
        <v>1.1707551394413247</v>
      </c>
      <c r="M45" s="7"/>
      <c r="N45" s="6">
        <f t="shared" si="24"/>
        <v>6.949900312000187</v>
      </c>
      <c r="O45">
        <f t="shared" si="25"/>
        <v>11.695190368286671</v>
      </c>
      <c r="P45">
        <f t="shared" si="26"/>
        <v>1.5308344797476151E-2</v>
      </c>
      <c r="Q45" s="7"/>
      <c r="R45" s="6">
        <f t="shared" si="27"/>
        <v>146.62491086938752</v>
      </c>
      <c r="S45">
        <f t="shared" si="28"/>
        <v>546.59885134752483</v>
      </c>
      <c r="T45">
        <f t="shared" si="29"/>
        <v>0.22400444704575578</v>
      </c>
      <c r="U45" s="7"/>
      <c r="V45" s="6">
        <f t="shared" si="14"/>
        <v>86.327420070798041</v>
      </c>
      <c r="W45">
        <f t="shared" si="15"/>
        <v>113.72366140414063</v>
      </c>
      <c r="X45">
        <f t="shared" si="19"/>
        <v>522.64816832059728</v>
      </c>
      <c r="Y45" s="7"/>
      <c r="Z45" s="15">
        <f t="shared" si="16"/>
        <v>789.35773440817457</v>
      </c>
      <c r="AA45" s="15">
        <f t="shared" si="30"/>
        <v>106.66835736566445</v>
      </c>
      <c r="AB45" s="15">
        <f t="shared" si="31"/>
        <v>-7.0683573656644541</v>
      </c>
    </row>
    <row r="46" spans="2:28" x14ac:dyDescent="0.25">
      <c r="B46">
        <v>34</v>
      </c>
      <c r="C46">
        <f t="shared" si="17"/>
        <v>307.14999999999998</v>
      </c>
      <c r="D46">
        <f t="shared" si="18"/>
        <v>4.7603</v>
      </c>
      <c r="E46">
        <f t="shared" si="11"/>
        <v>42.662089470745585</v>
      </c>
      <c r="F46">
        <f t="shared" si="12"/>
        <v>2.4870348724158844E-2</v>
      </c>
      <c r="G46">
        <f t="shared" si="13"/>
        <v>1.2852594789224856E-2</v>
      </c>
      <c r="H46">
        <v>2.5584982429960341E-2</v>
      </c>
      <c r="I46">
        <f t="shared" si="20"/>
        <v>2.5584982429960341E-2</v>
      </c>
      <c r="J46" s="6">
        <f t="shared" si="21"/>
        <v>128.29735663901184</v>
      </c>
      <c r="K46">
        <f t="shared" si="22"/>
        <v>628.95782000200552</v>
      </c>
      <c r="L46">
        <f t="shared" si="23"/>
        <v>1.2022677789287692</v>
      </c>
      <c r="M46" s="7"/>
      <c r="N46" s="6">
        <f t="shared" si="24"/>
        <v>6.8306329057472439</v>
      </c>
      <c r="O46">
        <f t="shared" si="25"/>
        <v>11.51460060609951</v>
      </c>
      <c r="P46">
        <f t="shared" si="26"/>
        <v>1.4850348873723523E-2</v>
      </c>
      <c r="Q46" s="7"/>
      <c r="R46" s="6">
        <f t="shared" si="27"/>
        <v>146.06673350769481</v>
      </c>
      <c r="S46">
        <f t="shared" si="28"/>
        <v>544.5180377740304</v>
      </c>
      <c r="T46">
        <f t="shared" si="29"/>
        <v>0.22315169828350206</v>
      </c>
      <c r="U46" s="7"/>
      <c r="V46" s="6">
        <f t="shared" si="14"/>
        <v>87.834754401660604</v>
      </c>
      <c r="W46">
        <f t="shared" si="15"/>
        <v>115.50725161891089</v>
      </c>
      <c r="X46">
        <f t="shared" si="19"/>
        <v>538.76703075831119</v>
      </c>
      <c r="Y46" s="7"/>
      <c r="Z46" s="15">
        <f t="shared" si="16"/>
        <v>801.11953389069174</v>
      </c>
      <c r="AA46" s="15">
        <f t="shared" si="30"/>
        <v>108.25776578693629</v>
      </c>
      <c r="AB46" s="15">
        <f t="shared" si="31"/>
        <v>-8.6577657869362952</v>
      </c>
    </row>
    <row r="47" spans="2:28" x14ac:dyDescent="0.25">
      <c r="B47">
        <v>35</v>
      </c>
      <c r="C47">
        <f t="shared" si="17"/>
        <v>308.14999999999998</v>
      </c>
      <c r="D47">
        <f t="shared" si="18"/>
        <v>4.7603</v>
      </c>
      <c r="E47">
        <f t="shared" si="11"/>
        <v>45.50447585085896</v>
      </c>
      <c r="F47">
        <f t="shared" si="12"/>
        <v>2.454528836957932E-2</v>
      </c>
      <c r="G47">
        <f t="shared" si="13"/>
        <v>1.2706729259215127E-2</v>
      </c>
      <c r="H47">
        <v>2.4920316279780932E-2</v>
      </c>
      <c r="I47">
        <f t="shared" si="20"/>
        <v>2.4920316279780932E-2</v>
      </c>
      <c r="J47" s="6">
        <f t="shared" si="21"/>
        <v>129.99643564809693</v>
      </c>
      <c r="K47">
        <f t="shared" si="22"/>
        <v>636.17787355763016</v>
      </c>
      <c r="L47">
        <f t="shared" si="23"/>
        <v>1.2343342538135076</v>
      </c>
      <c r="M47" s="7"/>
      <c r="N47" s="6">
        <f t="shared" si="24"/>
        <v>6.7138775060068694</v>
      </c>
      <c r="O47">
        <f t="shared" si="25"/>
        <v>11.337519399456742</v>
      </c>
      <c r="P47">
        <f t="shared" si="26"/>
        <v>1.4405597852560906E-2</v>
      </c>
      <c r="Q47" s="7"/>
      <c r="R47" s="6">
        <f t="shared" si="27"/>
        <v>145.47136725651626</v>
      </c>
      <c r="S47">
        <f t="shared" si="28"/>
        <v>542.29858879298274</v>
      </c>
      <c r="T47">
        <f t="shared" si="29"/>
        <v>0.22224213464186579</v>
      </c>
      <c r="U47" s="7"/>
      <c r="V47" s="6">
        <f t="shared" si="14"/>
        <v>89.362214777887061</v>
      </c>
      <c r="W47">
        <f t="shared" si="15"/>
        <v>117.31136438573418</v>
      </c>
      <c r="X47">
        <f t="shared" si="19"/>
        <v>555.40064704768395</v>
      </c>
      <c r="Y47" s="7"/>
      <c r="Z47" s="15">
        <f t="shared" si="16"/>
        <v>812.91311931039957</v>
      </c>
      <c r="AA47" s="15">
        <f t="shared" si="30"/>
        <v>109.85146954042531</v>
      </c>
      <c r="AB47" s="15">
        <f t="shared" si="31"/>
        <v>-10.251469540425319</v>
      </c>
    </row>
    <row r="48" spans="2:28" x14ac:dyDescent="0.25">
      <c r="B48">
        <v>36</v>
      </c>
      <c r="C48">
        <f t="shared" si="17"/>
        <v>309.14999999999998</v>
      </c>
      <c r="D48">
        <f t="shared" si="18"/>
        <v>4.7603</v>
      </c>
      <c r="E48">
        <f t="shared" ref="E48:E62" si="32">(D48)*(EXP(0.0645*B48))</f>
        <v>48.536237867142091</v>
      </c>
      <c r="F48">
        <f t="shared" si="12"/>
        <v>2.4232602989821272E-2</v>
      </c>
      <c r="G48">
        <f t="shared" si="13"/>
        <v>1.2566661107222966E-2</v>
      </c>
      <c r="H48">
        <v>2.4278505757119182E-2</v>
      </c>
      <c r="I48">
        <f t="shared" si="20"/>
        <v>2.4278505757119182E-2</v>
      </c>
      <c r="J48" s="6">
        <f t="shared" si="21"/>
        <v>131.67384458616652</v>
      </c>
      <c r="K48">
        <f t="shared" si="22"/>
        <v>643.26871959280356</v>
      </c>
      <c r="L48">
        <f t="shared" si="23"/>
        <v>1.2669642978740672</v>
      </c>
      <c r="M48" s="7"/>
      <c r="N48" s="6">
        <f t="shared" si="24"/>
        <v>6.5994135771592823</v>
      </c>
      <c r="O48">
        <f t="shared" si="25"/>
        <v>11.163597613037247</v>
      </c>
      <c r="P48">
        <f t="shared" si="26"/>
        <v>1.3973322907800071E-2</v>
      </c>
      <c r="Q48" s="7"/>
      <c r="R48" s="6">
        <f t="shared" si="27"/>
        <v>144.83633438458563</v>
      </c>
      <c r="S48">
        <f t="shared" si="28"/>
        <v>539.93126774018822</v>
      </c>
      <c r="T48">
        <f t="shared" si="29"/>
        <v>0.2212719707966552</v>
      </c>
      <c r="U48" s="7"/>
      <c r="V48" s="6">
        <f t="shared" ref="V48:V62" si="33">(J48/R48)*100</f>
        <v>90.912163129267981</v>
      </c>
      <c r="W48">
        <f t="shared" ref="W48:W62" si="34">(K48/S48)*100</f>
        <v>119.1390012075279</v>
      </c>
      <c r="X48">
        <f t="shared" ref="X48:X62" si="35">((L48/T48)*100)</f>
        <v>572.58237150984826</v>
      </c>
      <c r="Y48" s="7"/>
      <c r="Z48" s="15">
        <f t="shared" ref="Z48:Z62" si="36">J48+K48+L48+E48</f>
        <v>824.74576634398625</v>
      </c>
      <c r="AA48" s="15">
        <f t="shared" si="30"/>
        <v>111.45045181087421</v>
      </c>
      <c r="AB48" s="15">
        <f t="shared" si="31"/>
        <v>-11.850451810874219</v>
      </c>
    </row>
    <row r="49" spans="2:28" x14ac:dyDescent="0.25">
      <c r="B49">
        <v>37</v>
      </c>
      <c r="C49">
        <f t="shared" si="17"/>
        <v>310.14999999999998</v>
      </c>
      <c r="D49">
        <f t="shared" si="18"/>
        <v>4.7603</v>
      </c>
      <c r="E49">
        <f t="shared" si="32"/>
        <v>51.769992780860242</v>
      </c>
      <c r="F49">
        <f t="shared" si="12"/>
        <v>2.3931829532250343E-2</v>
      </c>
      <c r="G49">
        <f t="shared" si="13"/>
        <v>1.2432184678636844E-2</v>
      </c>
      <c r="H49">
        <v>2.3658478212395275E-2</v>
      </c>
      <c r="I49">
        <f t="shared" si="20"/>
        <v>2.3658478212395275E-2</v>
      </c>
      <c r="J49" s="6">
        <f t="shared" si="21"/>
        <v>133.32871169335814</v>
      </c>
      <c r="K49">
        <f t="shared" si="22"/>
        <v>650.2268273001846</v>
      </c>
      <c r="L49">
        <f t="shared" si="23"/>
        <v>1.3001681563729681</v>
      </c>
      <c r="M49" s="7"/>
      <c r="N49" s="6">
        <f t="shared" si="24"/>
        <v>6.4870223125794482</v>
      </c>
      <c r="O49">
        <f t="shared" si="25"/>
        <v>10.992486375203509</v>
      </c>
      <c r="P49">
        <f t="shared" si="26"/>
        <v>1.3552791571856002E-2</v>
      </c>
      <c r="Q49" s="7"/>
      <c r="R49" s="6">
        <f t="shared" si="27"/>
        <v>144.15899208035822</v>
      </c>
      <c r="S49">
        <f t="shared" si="28"/>
        <v>537.40622255336052</v>
      </c>
      <c r="T49">
        <f t="shared" si="29"/>
        <v>0.22023716922426539</v>
      </c>
      <c r="U49" s="7"/>
      <c r="V49" s="6">
        <f t="shared" si="33"/>
        <v>92.487266849810538</v>
      </c>
      <c r="W49">
        <f t="shared" si="34"/>
        <v>120.99354268932414</v>
      </c>
      <c r="X49">
        <f t="shared" si="35"/>
        <v>590.34910453694556</v>
      </c>
      <c r="Y49" s="7"/>
      <c r="Z49" s="15">
        <f t="shared" si="36"/>
        <v>836.62569993077591</v>
      </c>
      <c r="AA49" s="15">
        <f t="shared" si="30"/>
        <v>113.05582405982815</v>
      </c>
      <c r="AB49" s="15">
        <f t="shared" si="31"/>
        <v>-13.45582405982816</v>
      </c>
    </row>
    <row r="50" spans="2:28" x14ac:dyDescent="0.25">
      <c r="B50">
        <v>38</v>
      </c>
      <c r="C50">
        <f t="shared" si="17"/>
        <v>311.14999999999998</v>
      </c>
      <c r="D50">
        <f t="shared" si="18"/>
        <v>4.7603</v>
      </c>
      <c r="E50">
        <f t="shared" si="32"/>
        <v>55.219198485606363</v>
      </c>
      <c r="F50">
        <f t="shared" si="12"/>
        <v>2.3642527597351793E-2</v>
      </c>
      <c r="G50">
        <f t="shared" si="13"/>
        <v>1.2303104331607992E-2</v>
      </c>
      <c r="H50">
        <v>2.3059220888450017E-2</v>
      </c>
      <c r="I50">
        <f t="shared" si="20"/>
        <v>2.3059220888450017E-2</v>
      </c>
      <c r="J50" s="6">
        <f t="shared" si="21"/>
        <v>134.9601892970785</v>
      </c>
      <c r="K50">
        <f t="shared" si="22"/>
        <v>657.04880509157408</v>
      </c>
      <c r="L50">
        <f t="shared" si="23"/>
        <v>1.3339566045532429</v>
      </c>
      <c r="M50" s="7"/>
      <c r="N50" s="6">
        <f t="shared" si="24"/>
        <v>6.3764858886212066</v>
      </c>
      <c r="O50">
        <f t="shared" si="25"/>
        <v>10.823835847703737</v>
      </c>
      <c r="P50">
        <f t="shared" si="26"/>
        <v>1.3143305120156212E-2</v>
      </c>
      <c r="Q50" s="7"/>
      <c r="R50" s="6">
        <f t="shared" si="27"/>
        <v>143.43652145344208</v>
      </c>
      <c r="S50">
        <f t="shared" si="28"/>
        <v>534.71294477086656</v>
      </c>
      <c r="T50">
        <f t="shared" si="29"/>
        <v>0.21913342339874661</v>
      </c>
      <c r="U50" s="7"/>
      <c r="V50" s="6">
        <f t="shared" si="33"/>
        <v>94.090534216479242</v>
      </c>
      <c r="W50">
        <f t="shared" si="34"/>
        <v>122.87879160530338</v>
      </c>
      <c r="X50">
        <f t="shared" si="35"/>
        <v>608.7417354521524</v>
      </c>
      <c r="Y50" s="7"/>
      <c r="Z50" s="15">
        <f t="shared" si="36"/>
        <v>848.56214947881222</v>
      </c>
      <c r="AA50" s="15">
        <f t="shared" si="30"/>
        <v>114.66883348580379</v>
      </c>
      <c r="AB50" s="15">
        <f t="shared" si="31"/>
        <v>-15.068833485803793</v>
      </c>
    </row>
    <row r="51" spans="2:28" x14ac:dyDescent="0.25">
      <c r="B51">
        <v>39</v>
      </c>
      <c r="C51">
        <f t="shared" si="17"/>
        <v>312.14999999999998</v>
      </c>
      <c r="D51">
        <f t="shared" si="18"/>
        <v>4.7603</v>
      </c>
      <c r="E51">
        <f t="shared" si="32"/>
        <v>58.898209514915941</v>
      </c>
      <c r="F51">
        <f t="shared" si="12"/>
        <v>2.3364278210995008E-2</v>
      </c>
      <c r="G51">
        <f t="shared" si="13"/>
        <v>1.2179233905885165E-2</v>
      </c>
      <c r="H51">
        <v>2.2479777156222739E-2</v>
      </c>
      <c r="I51">
        <f t="shared" si="20"/>
        <v>2.2479777156222739E-2</v>
      </c>
      <c r="J51" s="6">
        <f t="shared" si="21"/>
        <v>136.56745443556824</v>
      </c>
      <c r="K51">
        <f t="shared" si="22"/>
        <v>663.73140235806056</v>
      </c>
      <c r="L51">
        <f t="shared" si="23"/>
        <v>1.3683409664710653</v>
      </c>
      <c r="M51" s="7"/>
      <c r="N51" s="6">
        <f t="shared" si="24"/>
        <v>6.2675867159903795</v>
      </c>
      <c r="O51">
        <f t="shared" si="25"/>
        <v>10.657293977633675</v>
      </c>
      <c r="P51">
        <f t="shared" si="26"/>
        <v>1.2744196128562313E-2</v>
      </c>
      <c r="Q51" s="7"/>
      <c r="R51" s="6">
        <f t="shared" si="27"/>
        <v>142.66591580324291</v>
      </c>
      <c r="S51">
        <f t="shared" si="28"/>
        <v>531.84022579874045</v>
      </c>
      <c r="T51">
        <f t="shared" si="29"/>
        <v>0.21795613986936757</v>
      </c>
      <c r="U51" s="7"/>
      <c r="V51" s="6">
        <f t="shared" si="33"/>
        <v>95.725355048303669</v>
      </c>
      <c r="W51">
        <f t="shared" si="34"/>
        <v>124.79902236827616</v>
      </c>
      <c r="X51">
        <f t="shared" si="35"/>
        <v>627.80565268369276</v>
      </c>
      <c r="Y51" s="7"/>
      <c r="Z51" s="15">
        <f t="shared" si="36"/>
        <v>860.56540727501579</v>
      </c>
      <c r="AA51" s="15">
        <f t="shared" si="30"/>
        <v>116.29087091743497</v>
      </c>
      <c r="AB51" s="15">
        <f t="shared" si="31"/>
        <v>-16.690870917434978</v>
      </c>
    </row>
    <row r="52" spans="2:28" x14ac:dyDescent="0.25">
      <c r="B52">
        <v>40</v>
      </c>
      <c r="C52">
        <f t="shared" si="17"/>
        <v>313.14999999999998</v>
      </c>
      <c r="D52">
        <f t="shared" si="18"/>
        <v>4.7603</v>
      </c>
      <c r="E52">
        <f t="shared" si="32"/>
        <v>62.822336781421683</v>
      </c>
      <c r="F52">
        <f t="shared" si="12"/>
        <v>2.3096682671847994E-2</v>
      </c>
      <c r="G52">
        <f t="shared" si="13"/>
        <v>1.2060396223760719E-2</v>
      </c>
      <c r="H52">
        <v>2.1919243015340029E-2</v>
      </c>
      <c r="I52">
        <f t="shared" si="20"/>
        <v>2.1919243015340029E-2</v>
      </c>
      <c r="J52" s="6">
        <f t="shared" si="21"/>
        <v>138.14970943377907</v>
      </c>
      <c r="K52">
        <f t="shared" si="22"/>
        <v>670.27151098683373</v>
      </c>
      <c r="L52">
        <f t="shared" si="23"/>
        <v>1.4033331341996085</v>
      </c>
      <c r="M52" s="7"/>
      <c r="N52" s="6">
        <f t="shared" si="24"/>
        <v>6.1601066850068182</v>
      </c>
      <c r="O52">
        <f t="shared" si="25"/>
        <v>10.492505225719004</v>
      </c>
      <c r="P52">
        <f t="shared" si="26"/>
        <v>1.235482618990936E-2</v>
      </c>
      <c r="Q52" s="7"/>
      <c r="R52" s="6">
        <f t="shared" si="27"/>
        <v>141.8439681060006</v>
      </c>
      <c r="S52">
        <f t="shared" si="28"/>
        <v>528.7761102639621</v>
      </c>
      <c r="T52">
        <f t="shared" si="29"/>
        <v>0.21670041914408575</v>
      </c>
      <c r="U52" s="7"/>
      <c r="V52" s="6">
        <f t="shared" si="33"/>
        <v>97.395547571356161</v>
      </c>
      <c r="W52">
        <f t="shared" si="34"/>
        <v>126.75903808366795</v>
      </c>
      <c r="X52">
        <f t="shared" si="35"/>
        <v>647.59133357583471</v>
      </c>
      <c r="Y52" s="7"/>
      <c r="Z52" s="15">
        <f t="shared" si="36"/>
        <v>872.64689033623404</v>
      </c>
      <c r="AA52" s="15">
        <f t="shared" si="30"/>
        <v>117.92347917159678</v>
      </c>
      <c r="AB52" s="15">
        <f t="shared" si="31"/>
        <v>-18.323479171596787</v>
      </c>
    </row>
    <row r="53" spans="2:28" x14ac:dyDescent="0.25">
      <c r="B53">
        <v>41</v>
      </c>
      <c r="C53">
        <f t="shared" si="17"/>
        <v>314.14999999999998</v>
      </c>
      <c r="D53">
        <f t="shared" si="18"/>
        <v>4.7603</v>
      </c>
      <c r="E53">
        <f t="shared" si="32"/>
        <v>67.007911296163954</v>
      </c>
      <c r="F53">
        <f t="shared" si="12"/>
        <v>2.2839361468904043E-2</v>
      </c>
      <c r="G53">
        <f t="shared" si="13"/>
        <v>1.1946422621001528E-2</v>
      </c>
      <c r="H53">
        <v>2.1376763839094357E-2</v>
      </c>
      <c r="I53">
        <f t="shared" si="20"/>
        <v>2.1376763839094357E-2</v>
      </c>
      <c r="J53" s="6">
        <f t="shared" si="21"/>
        <v>139.70618243177674</v>
      </c>
      <c r="K53">
        <f t="shared" si="22"/>
        <v>676.66616663878744</v>
      </c>
      <c r="L53">
        <f t="shared" si="23"/>
        <v>1.438945587439449</v>
      </c>
      <c r="M53" s="7"/>
      <c r="N53" s="6">
        <f t="shared" si="24"/>
        <v>6.0538264012293457</v>
      </c>
      <c r="O53">
        <f t="shared" si="25"/>
        <v>10.329109264847872</v>
      </c>
      <c r="P53">
        <f t="shared" si="26"/>
        <v>1.1974583776955953E-2</v>
      </c>
      <c r="Q53" s="7"/>
      <c r="R53" s="6">
        <f t="shared" si="27"/>
        <v>140.96725766814271</v>
      </c>
      <c r="S53">
        <f t="shared" si="28"/>
        <v>525.5078462598708</v>
      </c>
      <c r="T53">
        <f t="shared" si="29"/>
        <v>0.2153610352993682</v>
      </c>
      <c r="U53" s="7"/>
      <c r="V53" s="6">
        <f t="shared" si="33"/>
        <v>99.10541266303504</v>
      </c>
      <c r="W53">
        <f t="shared" si="34"/>
        <v>128.76423662457873</v>
      </c>
      <c r="X53">
        <f t="shared" si="35"/>
        <v>668.15502880509712</v>
      </c>
      <c r="Y53" s="7"/>
      <c r="Z53" s="15">
        <f t="shared" si="36"/>
        <v>884.8192059541675</v>
      </c>
      <c r="AA53" s="15">
        <f t="shared" si="30"/>
        <v>119.56836191069462</v>
      </c>
      <c r="AB53" s="15">
        <f t="shared" si="31"/>
        <v>-19.968361910694625</v>
      </c>
    </row>
    <row r="54" spans="2:28" x14ac:dyDescent="0.25">
      <c r="B54">
        <v>42</v>
      </c>
      <c r="C54">
        <f t="shared" si="17"/>
        <v>315.14999999999998</v>
      </c>
      <c r="D54">
        <f t="shared" si="18"/>
        <v>4.7603</v>
      </c>
      <c r="E54">
        <f t="shared" si="32"/>
        <v>71.472352133237038</v>
      </c>
      <c r="F54">
        <f t="shared" si="12"/>
        <v>2.2591953264446237E-2</v>
      </c>
      <c r="G54">
        <f t="shared" si="13"/>
        <v>1.1837152505794932E-2</v>
      </c>
      <c r="H54">
        <v>2.0851531345011193E-2</v>
      </c>
      <c r="I54">
        <f t="shared" si="20"/>
        <v>2.0851531345011193E-2</v>
      </c>
      <c r="J54" s="6">
        <f t="shared" si="21"/>
        <v>141.23612786599892</v>
      </c>
      <c r="K54">
        <f t="shared" si="22"/>
        <v>682.91254979122471</v>
      </c>
      <c r="L54">
        <f t="shared" si="23"/>
        <v>1.475191413572579</v>
      </c>
      <c r="M54" s="7"/>
      <c r="N54" s="6">
        <f t="shared" si="24"/>
        <v>5.9485244078692494</v>
      </c>
      <c r="O54">
        <f t="shared" si="25"/>
        <v>10.166739642623323</v>
      </c>
      <c r="P54">
        <f t="shared" si="26"/>
        <v>1.1602882240100068E-2</v>
      </c>
      <c r="Q54" s="7"/>
      <c r="R54" s="6">
        <f t="shared" si="27"/>
        <v>140.03213589040936</v>
      </c>
      <c r="S54">
        <f t="shared" si="28"/>
        <v>522.02183227665068</v>
      </c>
      <c r="T54">
        <f t="shared" si="29"/>
        <v>0.21393241423150483</v>
      </c>
      <c r="U54" s="7"/>
      <c r="V54" s="6">
        <f t="shared" si="33"/>
        <v>100.85979690871231</v>
      </c>
      <c r="W54">
        <f t="shared" si="34"/>
        <v>130.82068748214891</v>
      </c>
      <c r="X54">
        <f t="shared" si="35"/>
        <v>689.55955967299815</v>
      </c>
      <c r="Y54" s="7"/>
      <c r="Z54" s="15">
        <f t="shared" si="36"/>
        <v>897.09622120403321</v>
      </c>
      <c r="AA54" s="15">
        <f t="shared" si="30"/>
        <v>121.22739303558534</v>
      </c>
      <c r="AB54" s="15">
        <f t="shared" si="31"/>
        <v>-21.627393035585342</v>
      </c>
    </row>
    <row r="55" spans="2:28" x14ac:dyDescent="0.25">
      <c r="B55">
        <v>43</v>
      </c>
      <c r="C55">
        <f t="shared" si="17"/>
        <v>316.14999999999998</v>
      </c>
      <c r="D55">
        <f t="shared" si="18"/>
        <v>4.7603</v>
      </c>
      <c r="E55">
        <f t="shared" si="32"/>
        <v>76.234238922619141</v>
      </c>
      <c r="F55">
        <f t="shared" si="12"/>
        <v>2.2354113938116357E-2</v>
      </c>
      <c r="G55">
        <f t="shared" si="13"/>
        <v>1.1732432943876903E-2</v>
      </c>
      <c r="H55">
        <v>2.0342780773750534E-2</v>
      </c>
      <c r="I55">
        <f t="shared" si="20"/>
        <v>2.0342780773750534E-2</v>
      </c>
      <c r="J55" s="6">
        <f t="shared" si="21"/>
        <v>142.73882690377255</v>
      </c>
      <c r="K55">
        <f t="shared" si="22"/>
        <v>689.00798655055291</v>
      </c>
      <c r="L55">
        <f t="shared" si="23"/>
        <v>1.5120843282001744</v>
      </c>
      <c r="M55" s="7"/>
      <c r="N55" s="6">
        <f t="shared" si="24"/>
        <v>5.8439763913512666</v>
      </c>
      <c r="O55">
        <f t="shared" si="25"/>
        <v>10.005022401503588</v>
      </c>
      <c r="P55">
        <f t="shared" si="26"/>
        <v>1.1239157929173562E-2</v>
      </c>
      <c r="Q55" s="7"/>
      <c r="R55" s="6">
        <f t="shared" si="27"/>
        <v>139.03471108350539</v>
      </c>
      <c r="S55">
        <f t="shared" si="28"/>
        <v>518.30356059602946</v>
      </c>
      <c r="T55">
        <f t="shared" si="29"/>
        <v>0.21240861045890252</v>
      </c>
      <c r="U55" s="7"/>
      <c r="V55" s="6">
        <f t="shared" si="33"/>
        <v>102.664166229714</v>
      </c>
      <c r="W55">
        <f t="shared" si="34"/>
        <v>132.93522154434362</v>
      </c>
      <c r="X55">
        <f t="shared" si="35"/>
        <v>711.87525069410367</v>
      </c>
      <c r="Y55" s="7"/>
      <c r="Z55" s="15">
        <f t="shared" si="36"/>
        <v>909.49313670514482</v>
      </c>
      <c r="AA55" s="15">
        <f t="shared" si="30"/>
        <v>122.90262665307307</v>
      </c>
      <c r="AB55" s="15">
        <f t="shared" si="31"/>
        <v>-23.302626653073077</v>
      </c>
    </row>
    <row r="56" spans="2:28" x14ac:dyDescent="0.25">
      <c r="B56">
        <v>44</v>
      </c>
      <c r="C56">
        <f t="shared" si="17"/>
        <v>317.14999999999998</v>
      </c>
      <c r="D56">
        <f t="shared" si="18"/>
        <v>4.7603</v>
      </c>
      <c r="E56">
        <f t="shared" si="32"/>
        <v>81.31338917287934</v>
      </c>
      <c r="F56">
        <f t="shared" si="12"/>
        <v>2.2125515688065898E-2</v>
      </c>
      <c r="G56">
        <f t="shared" si="13"/>
        <v>1.1632118268145626E-2</v>
      </c>
      <c r="H56">
        <v>1.9849788260547757E-2</v>
      </c>
      <c r="I56">
        <f t="shared" si="20"/>
        <v>1.9849788260547757E-2</v>
      </c>
      <c r="J56" s="6">
        <f t="shared" si="21"/>
        <v>144.21358783158485</v>
      </c>
      <c r="K56">
        <f t="shared" si="22"/>
        <v>694.94994923987292</v>
      </c>
      <c r="L56">
        <f t="shared" si="23"/>
        <v>1.5496386962039652</v>
      </c>
      <c r="M56" s="7"/>
      <c r="N56" s="6">
        <f t="shared" si="24"/>
        <v>5.7399543662928885</v>
      </c>
      <c r="O56">
        <f t="shared" si="25"/>
        <v>9.8435746498688665</v>
      </c>
      <c r="P56">
        <f t="shared" si="26"/>
        <v>1.088286842952913E-2</v>
      </c>
      <c r="Q56" s="7"/>
      <c r="R56" s="6">
        <f t="shared" si="27"/>
        <v>137.97083227208589</v>
      </c>
      <c r="S56">
        <f t="shared" si="28"/>
        <v>514.33755691461636</v>
      </c>
      <c r="T56">
        <f t="shared" si="29"/>
        <v>0.2107832823788193</v>
      </c>
      <c r="U56" s="7"/>
      <c r="V56" s="6">
        <f t="shared" si="33"/>
        <v>104.52469225320604</v>
      </c>
      <c r="W56">
        <f t="shared" si="34"/>
        <v>135.1155364598894</v>
      </c>
      <c r="X56">
        <f t="shared" si="35"/>
        <v>735.18102513412691</v>
      </c>
      <c r="Y56" s="7"/>
      <c r="Z56" s="15">
        <f t="shared" si="36"/>
        <v>922.02656494054099</v>
      </c>
      <c r="AA56" s="15">
        <f t="shared" si="30"/>
        <v>124.5963076594833</v>
      </c>
      <c r="AB56" s="15">
        <f t="shared" si="31"/>
        <v>-24.996307659483307</v>
      </c>
    </row>
    <row r="57" spans="2:28" x14ac:dyDescent="0.25">
      <c r="B57">
        <v>45</v>
      </c>
      <c r="C57">
        <f t="shared" si="17"/>
        <v>318.14999999999998</v>
      </c>
      <c r="D57">
        <f t="shared" si="18"/>
        <v>4.7603</v>
      </c>
      <c r="E57">
        <f t="shared" si="32"/>
        <v>86.730940745554577</v>
      </c>
      <c r="F57">
        <f t="shared" si="12"/>
        <v>2.1905846185455102E-2</v>
      </c>
      <c r="G57">
        <f t="shared" si="13"/>
        <v>1.1536069711176794E-2</v>
      </c>
      <c r="H57">
        <v>1.937186838467363E-2</v>
      </c>
      <c r="I57">
        <f t="shared" si="20"/>
        <v>1.937186838467363E-2</v>
      </c>
      <c r="J57" s="6">
        <f t="shared" si="21"/>
        <v>145.65974639768109</v>
      </c>
      <c r="K57">
        <f t="shared" si="22"/>
        <v>700.73605676706495</v>
      </c>
      <c r="L57">
        <f t="shared" si="23"/>
        <v>1.5878695533744323</v>
      </c>
      <c r="M57" s="7"/>
      <c r="N57" s="6">
        <f t="shared" si="24"/>
        <v>5.6362258360644555</v>
      </c>
      <c r="O57">
        <f t="shared" si="25"/>
        <v>9.6820030770754446</v>
      </c>
      <c r="P57">
        <f t="shared" si="26"/>
        <v>1.0533490903424574E-2</v>
      </c>
      <c r="Q57" s="7"/>
      <c r="R57" s="6">
        <f t="shared" si="27"/>
        <v>136.83607191967334</v>
      </c>
      <c r="S57">
        <f t="shared" si="28"/>
        <v>510.10731594460862</v>
      </c>
      <c r="T57">
        <f t="shared" si="29"/>
        <v>0.2090496658755632</v>
      </c>
      <c r="U57" s="7"/>
      <c r="V57" s="6">
        <f t="shared" si="33"/>
        <v>106.44835411760978</v>
      </c>
      <c r="W57">
        <f t="shared" si="34"/>
        <v>137.37032088423453</v>
      </c>
      <c r="X57">
        <f t="shared" si="35"/>
        <v>759.56569780867835</v>
      </c>
      <c r="Y57" s="7"/>
      <c r="Z57" s="15">
        <f t="shared" si="36"/>
        <v>934.71461346367494</v>
      </c>
      <c r="AA57" s="15">
        <f t="shared" si="30"/>
        <v>126.31088298464088</v>
      </c>
      <c r="AB57" s="15">
        <f t="shared" si="31"/>
        <v>-26.71088298464089</v>
      </c>
    </row>
    <row r="58" spans="2:28" x14ac:dyDescent="0.25">
      <c r="B58">
        <v>46</v>
      </c>
      <c r="C58">
        <f t="shared" si="17"/>
        <v>319.14999999999998</v>
      </c>
      <c r="D58">
        <f t="shared" si="18"/>
        <v>4.7603</v>
      </c>
      <c r="E58">
        <f t="shared" si="32"/>
        <v>92.509439824429549</v>
      </c>
      <c r="F58">
        <f t="shared" si="12"/>
        <v>2.169480777883195E-2</v>
      </c>
      <c r="G58">
        <f t="shared" si="13"/>
        <v>1.144415505917561E-2</v>
      </c>
      <c r="H58">
        <v>1.8908371883591773E-2</v>
      </c>
      <c r="I58">
        <f t="shared" si="20"/>
        <v>1.8908371883591773E-2</v>
      </c>
      <c r="J58" s="6">
        <f t="shared" si="21"/>
        <v>147.07666610963599</v>
      </c>
      <c r="K58">
        <f t="shared" si="22"/>
        <v>706.36407477882608</v>
      </c>
      <c r="L58">
        <f t="shared" si="23"/>
        <v>1.6267926286499994</v>
      </c>
      <c r="M58" s="7"/>
      <c r="N58" s="6">
        <f t="shared" si="24"/>
        <v>5.5325529249628493</v>
      </c>
      <c r="O58">
        <f t="shared" si="25"/>
        <v>9.5199024052541983</v>
      </c>
      <c r="P58">
        <f t="shared" si="26"/>
        <v>1.0190520528451664E-2</v>
      </c>
      <c r="Q58" s="7"/>
      <c r="R58" s="6">
        <f t="shared" si="27"/>
        <v>135.62570750261216</v>
      </c>
      <c r="S58">
        <f t="shared" si="28"/>
        <v>505.59523272385985</v>
      </c>
      <c r="T58">
        <f t="shared" si="29"/>
        <v>0.20720054617032319</v>
      </c>
      <c r="U58" s="7"/>
      <c r="V58" s="6">
        <f t="shared" si="33"/>
        <v>108.44305907624725</v>
      </c>
      <c r="W58">
        <f t="shared" si="34"/>
        <v>139.70940172306169</v>
      </c>
      <c r="X58">
        <f t="shared" si="35"/>
        <v>785.12950796603684</v>
      </c>
      <c r="Y58" s="7"/>
      <c r="Z58" s="15">
        <f t="shared" si="36"/>
        <v>947.5769733415417</v>
      </c>
      <c r="AA58" s="15">
        <f t="shared" si="30"/>
        <v>128.04901354346381</v>
      </c>
      <c r="AB58" s="15">
        <f t="shared" si="31"/>
        <v>-28.44901354346382</v>
      </c>
    </row>
    <row r="59" spans="2:28" x14ac:dyDescent="0.25">
      <c r="B59">
        <v>47</v>
      </c>
      <c r="C59">
        <f t="shared" si="17"/>
        <v>320.14999999999998</v>
      </c>
      <c r="D59">
        <f t="shared" si="18"/>
        <v>4.7603</v>
      </c>
      <c r="E59">
        <f t="shared" si="32"/>
        <v>98.67293474582074</v>
      </c>
      <c r="F59">
        <f t="shared" si="12"/>
        <v>2.1492116745167506E-2</v>
      </c>
      <c r="G59">
        <f t="shared" si="13"/>
        <v>1.135624832599638E-2</v>
      </c>
      <c r="H59">
        <v>1.8458683519571188E-2</v>
      </c>
      <c r="I59">
        <f t="shared" si="20"/>
        <v>1.8458683519571188E-2</v>
      </c>
      <c r="J59" s="6">
        <f t="shared" si="21"/>
        <v>148.46373848762246</v>
      </c>
      <c r="K59">
        <f t="shared" si="22"/>
        <v>711.83191560675425</v>
      </c>
      <c r="L59">
        <f t="shared" si="23"/>
        <v>1.6664243670132863</v>
      </c>
      <c r="M59" s="7"/>
      <c r="N59" s="6">
        <f t="shared" si="24"/>
        <v>5.4286914778798954</v>
      </c>
      <c r="O59">
        <f t="shared" si="25"/>
        <v>9.3568537702540624</v>
      </c>
      <c r="P59">
        <f t="shared" si="26"/>
        <v>9.8534690254270425E-3</v>
      </c>
      <c r="Q59" s="7"/>
      <c r="R59" s="6">
        <f t="shared" si="27"/>
        <v>134.33470185637759</v>
      </c>
      <c r="S59">
        <f t="shared" si="28"/>
        <v>500.78252934944078</v>
      </c>
      <c r="T59">
        <f t="shared" si="29"/>
        <v>0.20522822779547803</v>
      </c>
      <c r="U59" s="7"/>
      <c r="V59" s="6">
        <f t="shared" si="33"/>
        <v>110.5177861237603</v>
      </c>
      <c r="W59">
        <f t="shared" si="34"/>
        <v>142.14391954357606</v>
      </c>
      <c r="X59">
        <f t="shared" si="35"/>
        <v>811.98594604343407</v>
      </c>
      <c r="Y59" s="7"/>
      <c r="Z59" s="15">
        <f t="shared" si="36"/>
        <v>960.6350132072107</v>
      </c>
      <c r="AA59" s="15">
        <f t="shared" si="30"/>
        <v>129.81358694557358</v>
      </c>
      <c r="AB59" s="15">
        <f t="shared" si="31"/>
        <v>-30.213586945573581</v>
      </c>
    </row>
    <row r="60" spans="2:28" x14ac:dyDescent="0.25">
      <c r="B60">
        <v>48</v>
      </c>
      <c r="C60">
        <f t="shared" si="17"/>
        <v>321.14999999999998</v>
      </c>
      <c r="D60">
        <f t="shared" si="18"/>
        <v>4.7603</v>
      </c>
      <c r="E60">
        <f t="shared" si="32"/>
        <v>105.24707608035753</v>
      </c>
      <c r="F60">
        <f t="shared" si="12"/>
        <v>2.1297502584551199E-2</v>
      </c>
      <c r="G60">
        <f t="shared" si="13"/>
        <v>1.1272229445961358E-2</v>
      </c>
      <c r="H60">
        <v>1.8022220087494458E-2</v>
      </c>
      <c r="I60">
        <f t="shared" si="20"/>
        <v>1.8022220087494458E-2</v>
      </c>
      <c r="J60" s="6">
        <f t="shared" si="21"/>
        <v>149.82038327416592</v>
      </c>
      <c r="K60">
        <f t="shared" si="22"/>
        <v>717.13763801146388</v>
      </c>
      <c r="L60">
        <f t="shared" si="23"/>
        <v>1.7067819530926847</v>
      </c>
      <c r="M60" s="7"/>
      <c r="N60" s="6">
        <f t="shared" si="24"/>
        <v>5.3243901231726571</v>
      </c>
      <c r="O60">
        <f t="shared" si="25"/>
        <v>9.192423023743034</v>
      </c>
      <c r="P60">
        <f t="shared" si="26"/>
        <v>9.5218632687742947E-3</v>
      </c>
      <c r="Q60" s="7"/>
      <c r="R60" s="6">
        <f t="shared" si="27"/>
        <v>132.95768221244552</v>
      </c>
      <c r="S60">
        <f t="shared" si="28"/>
        <v>495.64917682978108</v>
      </c>
      <c r="T60">
        <f t="shared" si="29"/>
        <v>0.20312450256842626</v>
      </c>
      <c r="U60" s="7"/>
      <c r="V60" s="6">
        <f t="shared" si="33"/>
        <v>112.68275798819691</v>
      </c>
      <c r="W60">
        <f t="shared" si="34"/>
        <v>144.6865386922145</v>
      </c>
      <c r="X60">
        <f t="shared" si="35"/>
        <v>840.26394231671941</v>
      </c>
      <c r="Y60" s="7"/>
      <c r="Z60" s="15">
        <f t="shared" si="36"/>
        <v>973.91187931907996</v>
      </c>
      <c r="AA60" s="15">
        <f t="shared" si="30"/>
        <v>131.60773101661223</v>
      </c>
      <c r="AB60" s="15">
        <f t="shared" si="31"/>
        <v>-32.00773101661224</v>
      </c>
    </row>
    <row r="61" spans="2:28" x14ac:dyDescent="0.25">
      <c r="B61">
        <v>49</v>
      </c>
      <c r="C61">
        <f t="shared" si="17"/>
        <v>322.14999999999998</v>
      </c>
      <c r="D61">
        <f t="shared" si="18"/>
        <v>4.7603</v>
      </c>
      <c r="E61">
        <f t="shared" si="32"/>
        <v>112.25922338276987</v>
      </c>
      <c r="F61">
        <f t="shared" si="12"/>
        <v>2.1110707355762939E-2</v>
      </c>
      <c r="G61">
        <f t="shared" si="13"/>
        <v>1.119198398429423E-2</v>
      </c>
      <c r="H61">
        <v>1.759842855351312E-2</v>
      </c>
      <c r="I61">
        <f t="shared" si="20"/>
        <v>1.759842855351312E-2</v>
      </c>
      <c r="J61" s="6">
        <f t="shared" si="21"/>
        <v>151.14604860120687</v>
      </c>
      <c r="K61">
        <f t="shared" si="22"/>
        <v>722.27944673115633</v>
      </c>
      <c r="L61">
        <f t="shared" si="23"/>
        <v>1.7478833355185841</v>
      </c>
      <c r="M61" s="7"/>
      <c r="N61" s="6">
        <f t="shared" si="24"/>
        <v>5.2193892942462865</v>
      </c>
      <c r="O61">
        <f t="shared" si="25"/>
        <v>9.0261589480384945</v>
      </c>
      <c r="P61">
        <f t="shared" si="26"/>
        <v>9.1952439729930877E-3</v>
      </c>
      <c r="Q61" s="7"/>
      <c r="R61" s="6">
        <f t="shared" si="27"/>
        <v>131.48891783848222</v>
      </c>
      <c r="S61">
        <f t="shared" si="28"/>
        <v>490.17381173016543</v>
      </c>
      <c r="T61">
        <f t="shared" si="29"/>
        <v>0.20088061543165431</v>
      </c>
      <c r="U61" s="7"/>
      <c r="V61" s="6">
        <f t="shared" si="33"/>
        <v>114.9496482942167</v>
      </c>
      <c r="W61">
        <f t="shared" si="34"/>
        <v>147.35170044717978</v>
      </c>
      <c r="X61">
        <f t="shared" si="35"/>
        <v>870.11050407363336</v>
      </c>
      <c r="Y61" s="7"/>
      <c r="Z61" s="15">
        <f t="shared" si="36"/>
        <v>987.43260205065167</v>
      </c>
      <c r="AA61" s="15">
        <f t="shared" si="30"/>
        <v>133.43482818853602</v>
      </c>
      <c r="AB61" s="15">
        <f t="shared" si="31"/>
        <v>-33.834828188536022</v>
      </c>
    </row>
    <row r="62" spans="2:28" ht="15.75" thickBot="1" x14ac:dyDescent="0.3">
      <c r="B62">
        <v>50</v>
      </c>
      <c r="C62">
        <f t="shared" si="17"/>
        <v>323.14999999999998</v>
      </c>
      <c r="D62">
        <f t="shared" si="18"/>
        <v>4.7603</v>
      </c>
      <c r="E62">
        <f t="shared" si="32"/>
        <v>119.73855905394217</v>
      </c>
      <c r="F62">
        <f t="shared" si="12"/>
        <v>2.0931485050121025E-2</v>
      </c>
      <c r="G62">
        <f t="shared" si="13"/>
        <v>1.1115402864066539E-2</v>
      </c>
      <c r="H62">
        <v>1.7186784315007957E-2</v>
      </c>
      <c r="I62">
        <f t="shared" si="20"/>
        <v>1.7186784315007957E-2</v>
      </c>
      <c r="J62" s="8">
        <f t="shared" si="21"/>
        <v>152.44021111543401</v>
      </c>
      <c r="K62" s="9">
        <f t="shared" si="22"/>
        <v>727.25569184116705</v>
      </c>
      <c r="L62" s="9">
        <f t="shared" si="23"/>
        <v>1.7897472520871487</v>
      </c>
      <c r="M62" s="10"/>
      <c r="N62" s="8">
        <f t="shared" si="24"/>
        <v>5.1134202051352338</v>
      </c>
      <c r="O62" s="9">
        <f t="shared" si="25"/>
        <v>8.8575913747557991</v>
      </c>
      <c r="P62" s="9">
        <f t="shared" si="26"/>
        <v>8.8731644493162051E-3</v>
      </c>
      <c r="Q62" s="10"/>
      <c r="R62" s="8">
        <f t="shared" si="27"/>
        <v>129.92229618879847</v>
      </c>
      <c r="S62" s="9">
        <f t="shared" si="28"/>
        <v>484.33364726468727</v>
      </c>
      <c r="T62" s="9">
        <f t="shared" si="29"/>
        <v>0.19848722801687918</v>
      </c>
      <c r="U62" s="10"/>
      <c r="V62" s="8">
        <f t="shared" si="33"/>
        <v>117.33183263164723</v>
      </c>
      <c r="W62" s="9">
        <f t="shared" si="34"/>
        <v>150.15592989427873</v>
      </c>
      <c r="X62" s="9">
        <f t="shared" si="35"/>
        <v>901.69391248435909</v>
      </c>
      <c r="Y62" s="10"/>
      <c r="Z62" s="16">
        <f t="shared" si="36"/>
        <v>1001.2242092626303</v>
      </c>
      <c r="AA62" s="16">
        <f t="shared" si="30"/>
        <v>135.29853081993826</v>
      </c>
      <c r="AB62" s="16">
        <f t="shared" si="31"/>
        <v>-35.69853081993827</v>
      </c>
    </row>
  </sheetData>
  <mergeCells count="5">
    <mergeCell ref="J9:M9"/>
    <mergeCell ref="N9:Q9"/>
    <mergeCell ref="R9:U9"/>
    <mergeCell ref="V9:Y9"/>
    <mergeCell ref="C2:L2"/>
  </mergeCells>
  <pageMargins left="0.7" right="0.7" top="0.78740157499999996" bottom="0.78740157499999996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79915-BD7C-4164-B04A-665649D388C6}">
  <dimension ref="A1"/>
  <sheetViews>
    <sheetView workbookViewId="0">
      <selection activeCell="D29" sqref="D29"/>
    </sheetView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81A49-5975-47BC-B373-E5FDC7DDD4F9}">
  <dimension ref="A9:O34"/>
  <sheetViews>
    <sheetView topLeftCell="A4" workbookViewId="0">
      <selection activeCell="M34" sqref="M34"/>
    </sheetView>
  </sheetViews>
  <sheetFormatPr baseColWidth="10" defaultRowHeight="15" x14ac:dyDescent="0.25"/>
  <cols>
    <col min="4" max="4" width="3" bestFit="1" customWidth="1"/>
    <col min="5" max="5" width="11.28515625" bestFit="1" customWidth="1"/>
    <col min="6" max="6" width="11.28515625" customWidth="1"/>
    <col min="7" max="7" width="6" bestFit="1" customWidth="1"/>
    <col min="8" max="8" width="8" bestFit="1" customWidth="1"/>
    <col min="9" max="9" width="13.85546875" bestFit="1" customWidth="1"/>
    <col min="10" max="10" width="27.42578125" bestFit="1" customWidth="1"/>
    <col min="11" max="12" width="8" bestFit="1" customWidth="1"/>
    <col min="14" max="15" width="22.140625" bestFit="1" customWidth="1"/>
  </cols>
  <sheetData>
    <row r="9" spans="1:15" x14ac:dyDescent="0.25">
      <c r="N9" t="s">
        <v>5</v>
      </c>
    </row>
    <row r="12" spans="1:15" x14ac:dyDescent="0.25">
      <c r="J12" t="s">
        <v>9</v>
      </c>
    </row>
    <row r="13" spans="1:15" x14ac:dyDescent="0.25">
      <c r="C13" t="s">
        <v>7</v>
      </c>
      <c r="D13" t="s">
        <v>26</v>
      </c>
      <c r="E13" t="s">
        <v>6</v>
      </c>
      <c r="F13" t="s">
        <v>28</v>
      </c>
      <c r="I13" t="s">
        <v>8</v>
      </c>
      <c r="J13" t="s">
        <v>11</v>
      </c>
      <c r="N13" t="s">
        <v>27</v>
      </c>
      <c r="O13" t="s">
        <v>5</v>
      </c>
    </row>
    <row r="14" spans="1:15" x14ac:dyDescent="0.25">
      <c r="J14" t="s">
        <v>19</v>
      </c>
      <c r="K14" t="s">
        <v>20</v>
      </c>
      <c r="L14" t="s">
        <v>21</v>
      </c>
      <c r="M14" t="s">
        <v>22</v>
      </c>
      <c r="N14" t="s">
        <v>6</v>
      </c>
    </row>
    <row r="15" spans="1:15" x14ac:dyDescent="0.25">
      <c r="A15" t="s">
        <v>10</v>
      </c>
      <c r="C15">
        <v>288.14999999999998</v>
      </c>
      <c r="D15">
        <f>C15-273.15</f>
        <v>15</v>
      </c>
      <c r="E15">
        <f>C15/100</f>
        <v>2.8815</v>
      </c>
      <c r="F15">
        <f>LN(E15)</f>
        <v>1.0583109918945839</v>
      </c>
      <c r="G15">
        <v>2.7559999999999998</v>
      </c>
      <c r="H15">
        <v>1.0000000000000001E-5</v>
      </c>
      <c r="I15">
        <f>H15*G15</f>
        <v>2.756E-5</v>
      </c>
      <c r="J15">
        <v>-66.735399999999998</v>
      </c>
      <c r="K15">
        <v>87.475499999999997</v>
      </c>
      <c r="L15">
        <v>24.4526</v>
      </c>
      <c r="M15" t="s">
        <v>23</v>
      </c>
      <c r="N15">
        <f>LN(I15)</f>
        <v>-10.499145111818816</v>
      </c>
      <c r="O15">
        <f>J15+(K15/E15)+L15*F15</f>
        <v>-10.499318403263253</v>
      </c>
    </row>
    <row r="16" spans="1:15" x14ac:dyDescent="0.25">
      <c r="A16" t="s">
        <v>12</v>
      </c>
      <c r="C16">
        <v>293.14999999999998</v>
      </c>
      <c r="D16">
        <f>C16-273.15</f>
        <v>20</v>
      </c>
      <c r="E16">
        <f>C16/100</f>
        <v>2.9314999999999998</v>
      </c>
      <c r="F16">
        <f>LN(E16)</f>
        <v>1.0755142374221327</v>
      </c>
      <c r="G16">
        <v>2.5009999999999999</v>
      </c>
      <c r="H16">
        <v>1.0000000000000001E-5</v>
      </c>
      <c r="I16">
        <f>H16*G16</f>
        <v>2.5009999999999999E-5</v>
      </c>
      <c r="J16">
        <v>-66.735399999999998</v>
      </c>
      <c r="K16">
        <v>87.475499999999997</v>
      </c>
      <c r="L16">
        <v>24.4526</v>
      </c>
      <c r="N16">
        <f>LN(I16)</f>
        <v>-10.596234813074746</v>
      </c>
      <c r="O16">
        <f>J16+(K16/E16)+L16*F16</f>
        <v>-10.596437474266036</v>
      </c>
    </row>
    <row r="17" spans="1:15" x14ac:dyDescent="0.25">
      <c r="C17">
        <v>298.14999999999998</v>
      </c>
      <c r="D17">
        <f>C17-273.15</f>
        <v>25</v>
      </c>
      <c r="E17">
        <f>C17/100</f>
        <v>2.9814999999999996</v>
      </c>
      <c r="F17">
        <f>LN(E17)</f>
        <v>1.0924265295810234</v>
      </c>
      <c r="G17">
        <v>2.2930000000000001</v>
      </c>
      <c r="H17">
        <v>1.0000000000000001E-5</v>
      </c>
      <c r="I17">
        <f>H17*G17</f>
        <v>2.2930000000000002E-5</v>
      </c>
      <c r="J17">
        <v>-66.735399999999998</v>
      </c>
      <c r="K17">
        <v>87.475499999999997</v>
      </c>
      <c r="L17">
        <v>24.4526</v>
      </c>
      <c r="N17">
        <f>LN(I17)</f>
        <v>-10.68306446109446</v>
      </c>
      <c r="O17">
        <f>J17+(K17/E17)+L17*F17</f>
        <v>-10.683304579577399</v>
      </c>
    </row>
    <row r="18" spans="1:15" x14ac:dyDescent="0.25">
      <c r="C18">
        <v>303.14999999999998</v>
      </c>
      <c r="D18">
        <f>C18-273.15</f>
        <v>30</v>
      </c>
      <c r="E18">
        <f>C18/100</f>
        <v>3.0314999999999999</v>
      </c>
      <c r="F18">
        <f>LN(E18)</f>
        <v>1.1090575465296484</v>
      </c>
      <c r="G18">
        <v>2.1219999999999999</v>
      </c>
      <c r="H18">
        <v>1.0000000000000001E-5</v>
      </c>
      <c r="I18">
        <f>H18*G18</f>
        <v>2.122E-5</v>
      </c>
      <c r="J18">
        <v>-66.735399999999998</v>
      </c>
      <c r="K18">
        <v>87.475499999999997</v>
      </c>
      <c r="L18">
        <v>24.4526</v>
      </c>
      <c r="N18">
        <f>LN(I18)</f>
        <v>-10.760566424778437</v>
      </c>
      <c r="O18">
        <f>J18+(K18/E18)+L18*F18</f>
        <v>-10.760542366972064</v>
      </c>
    </row>
    <row r="19" spans="1:15" x14ac:dyDescent="0.25">
      <c r="C19">
        <v>308.14999999999998</v>
      </c>
      <c r="D19">
        <f>C19-273.15</f>
        <v>35</v>
      </c>
      <c r="E19">
        <f>C19/100</f>
        <v>3.0814999999999997</v>
      </c>
      <c r="F19">
        <f>LN(E19)</f>
        <v>1.1254164914201608</v>
      </c>
      <c r="G19">
        <v>1.982</v>
      </c>
      <c r="H19">
        <v>1.0000000000000001E-5</v>
      </c>
      <c r="I19">
        <f>H19*G19</f>
        <v>1.982E-5</v>
      </c>
      <c r="J19">
        <v>-66.735399999999998</v>
      </c>
      <c r="K19">
        <v>87.475499999999997</v>
      </c>
      <c r="L19">
        <v>24.4526</v>
      </c>
      <c r="N19">
        <f>LN(I19)</f>
        <v>-10.828819029062432</v>
      </c>
      <c r="O19">
        <f>J19+(K19/E19)+L19*F19</f>
        <v>-10.828729327568688</v>
      </c>
    </row>
    <row r="22" spans="1:15" x14ac:dyDescent="0.25">
      <c r="A22" t="s">
        <v>13</v>
      </c>
    </row>
    <row r="23" spans="1:15" x14ac:dyDescent="0.25">
      <c r="A23" t="s">
        <v>14</v>
      </c>
      <c r="C23">
        <v>288.14999999999998</v>
      </c>
      <c r="D23">
        <f>C23-273.15</f>
        <v>15</v>
      </c>
      <c r="E23">
        <f>C23/100</f>
        <v>2.8815</v>
      </c>
      <c r="F23">
        <f>LN(E23)</f>
        <v>1.0583109918945839</v>
      </c>
      <c r="G23">
        <v>1.3859999999999999</v>
      </c>
      <c r="H23">
        <v>1.0000000000000001E-5</v>
      </c>
      <c r="I23">
        <f>H23*G23</f>
        <v>1.3859999999999999E-5</v>
      </c>
      <c r="J23">
        <v>-67.387699999999995</v>
      </c>
      <c r="K23">
        <v>86.321299999999994</v>
      </c>
      <c r="L23">
        <v>24.798100000000002</v>
      </c>
      <c r="M23" t="s">
        <v>24</v>
      </c>
      <c r="N23">
        <f>LN(I23)</f>
        <v>-11.186503564202518</v>
      </c>
      <c r="O23">
        <f>J23+(K23/E23)+L23*F23</f>
        <v>-11.186527221918002</v>
      </c>
    </row>
    <row r="24" spans="1:15" x14ac:dyDescent="0.25">
      <c r="C24">
        <v>293.14999999999998</v>
      </c>
      <c r="D24">
        <f>C24-273.15</f>
        <v>20</v>
      </c>
      <c r="E24">
        <f>C24/100</f>
        <v>2.9314999999999998</v>
      </c>
      <c r="F24">
        <f>LN(E24)</f>
        <v>1.0755142374221327</v>
      </c>
      <c r="G24">
        <v>1.274</v>
      </c>
      <c r="H24">
        <v>1.0000000000000001E-5</v>
      </c>
      <c r="I24">
        <f>H24*G24</f>
        <v>1.2740000000000002E-5</v>
      </c>
      <c r="J24">
        <v>-67.387699999999995</v>
      </c>
      <c r="K24">
        <v>86.321299999999994</v>
      </c>
      <c r="L24">
        <v>24.798100000000002</v>
      </c>
      <c r="N24">
        <f>LN(I24)</f>
        <v>-11.270763907820257</v>
      </c>
      <c r="O24">
        <f>J24+(K24/E24)+L24*F24</f>
        <v>-11.270870655057593</v>
      </c>
    </row>
    <row r="25" spans="1:15" x14ac:dyDescent="0.25">
      <c r="C25">
        <v>298.14999999999998</v>
      </c>
      <c r="D25">
        <f>C25-273.15</f>
        <v>25</v>
      </c>
      <c r="E25">
        <f>C25/100</f>
        <v>2.9814999999999996</v>
      </c>
      <c r="F25">
        <f>LN(E25)</f>
        <v>1.0924265295810234</v>
      </c>
      <c r="G25">
        <v>1.1830000000000001</v>
      </c>
      <c r="H25">
        <v>1.0000000000000001E-5</v>
      </c>
      <c r="I25">
        <f>H25*G25</f>
        <v>1.1830000000000002E-5</v>
      </c>
      <c r="J25">
        <v>-67.387699999999995</v>
      </c>
      <c r="K25">
        <v>86.321299999999994</v>
      </c>
      <c r="L25">
        <v>24.798100000000002</v>
      </c>
      <c r="N25">
        <f>LN(I25)</f>
        <v>-11.344871879973979</v>
      </c>
      <c r="O25">
        <f>J25+(K25/E25)+L25*F25</f>
        <v>-11.345291790497974</v>
      </c>
    </row>
    <row r="26" spans="1:15" x14ac:dyDescent="0.25">
      <c r="C26">
        <v>303.14999999999998</v>
      </c>
      <c r="D26">
        <f>C26-273.15</f>
        <v>30</v>
      </c>
      <c r="E26">
        <f>C26/100</f>
        <v>3.0314999999999999</v>
      </c>
      <c r="F26">
        <f>LN(E26)</f>
        <v>1.1090575465296484</v>
      </c>
      <c r="G26">
        <v>1.1080000000000001</v>
      </c>
      <c r="H26">
        <v>1.0000000000000001E-5</v>
      </c>
      <c r="I26">
        <f>H26*G26</f>
        <v>1.1080000000000002E-5</v>
      </c>
      <c r="J26">
        <v>-67.387699999999995</v>
      </c>
      <c r="K26">
        <v>86.321299999999994</v>
      </c>
      <c r="L26">
        <v>24.798100000000002</v>
      </c>
      <c r="N26">
        <f>LN(I26)</f>
        <v>-11.410368876645137</v>
      </c>
      <c r="O26">
        <f>J26+(K26/E26)+L26*F26</f>
        <v>-11.410398594080341</v>
      </c>
    </row>
    <row r="27" spans="1:15" x14ac:dyDescent="0.25">
      <c r="C27">
        <v>308.14999999999998</v>
      </c>
      <c r="D27">
        <f>C27-273.15</f>
        <v>35</v>
      </c>
      <c r="E27">
        <f>C27/100</f>
        <v>3.0814999999999997</v>
      </c>
      <c r="F27">
        <f>LN(E27)</f>
        <v>1.1254164914201608</v>
      </c>
      <c r="G27">
        <v>1.0469999999999999</v>
      </c>
      <c r="H27">
        <v>1.0000000000000001E-5</v>
      </c>
      <c r="I27">
        <f>H27*G27</f>
        <v>1.047E-5</v>
      </c>
      <c r="J27">
        <v>-67.387699999999995</v>
      </c>
      <c r="K27">
        <v>86.321299999999994</v>
      </c>
      <c r="L27">
        <v>24.798100000000002</v>
      </c>
      <c r="N27">
        <f>LN(I27)</f>
        <v>-11.466996533081829</v>
      </c>
      <c r="O27">
        <f>J27+(K27/E27)+L27*F27</f>
        <v>-11.466755774988279</v>
      </c>
    </row>
    <row r="30" spans="1:15" x14ac:dyDescent="0.25">
      <c r="A30" t="s">
        <v>15</v>
      </c>
      <c r="C30">
        <v>288.14999999999998</v>
      </c>
      <c r="D30">
        <f>C30-273.15</f>
        <v>15</v>
      </c>
      <c r="E30">
        <f>C30/100</f>
        <v>2.8815</v>
      </c>
      <c r="F30">
        <f>LN(E30)</f>
        <v>1.0583109918945839</v>
      </c>
      <c r="G30">
        <v>8.2100000000000009</v>
      </c>
      <c r="H30">
        <v>1E-4</v>
      </c>
      <c r="I30">
        <f>H30*G30</f>
        <v>8.2100000000000012E-4</v>
      </c>
      <c r="J30" t="s">
        <v>18</v>
      </c>
      <c r="M30" t="s">
        <v>25</v>
      </c>
      <c r="N30">
        <f>LN(I30)</f>
        <v>-7.1049874485118458</v>
      </c>
      <c r="O30" t="e">
        <f>J30+(K30/E30)+L30*F30</f>
        <v>#VALUE!</v>
      </c>
    </row>
    <row r="31" spans="1:15" x14ac:dyDescent="0.25">
      <c r="A31" t="s">
        <v>16</v>
      </c>
      <c r="C31">
        <v>293.14999999999998</v>
      </c>
      <c r="D31">
        <f>C31-273.15</f>
        <v>20</v>
      </c>
      <c r="E31">
        <f>C31/100</f>
        <v>2.9314999999999998</v>
      </c>
      <c r="F31">
        <f>LN(E31)</f>
        <v>1.0755142374221327</v>
      </c>
      <c r="G31">
        <v>7.07</v>
      </c>
      <c r="H31">
        <v>1E-4</v>
      </c>
      <c r="I31">
        <f>H31*G31</f>
        <v>7.0700000000000005E-4</v>
      </c>
      <c r="J31" t="s">
        <v>17</v>
      </c>
      <c r="N31">
        <f>LN(I31)</f>
        <v>-7.2544798920677014</v>
      </c>
      <c r="O31" t="e">
        <f>J31+(K31/E31)+L31*F31</f>
        <v>#VALUE!</v>
      </c>
    </row>
    <row r="32" spans="1:15" x14ac:dyDescent="0.25">
      <c r="C32">
        <v>298.14999999999998</v>
      </c>
      <c r="D32">
        <f>C32-273.15</f>
        <v>25</v>
      </c>
      <c r="E32">
        <f>C32/100</f>
        <v>2.9814999999999996</v>
      </c>
      <c r="F32">
        <f>LN(E32)</f>
        <v>1.0924265295810234</v>
      </c>
      <c r="G32">
        <v>6.15</v>
      </c>
      <c r="H32">
        <v>1E-4</v>
      </c>
      <c r="I32">
        <f>H32*G32</f>
        <v>6.150000000000001E-4</v>
      </c>
      <c r="N32">
        <f>LN(I32)</f>
        <v>-7.3938882901577561</v>
      </c>
      <c r="O32">
        <f>J32+(K32/E32)+L32*F32</f>
        <v>0</v>
      </c>
    </row>
    <row r="33" spans="3:15" x14ac:dyDescent="0.25">
      <c r="C33">
        <v>303.14999999999998</v>
      </c>
      <c r="D33">
        <f>C33-273.15</f>
        <v>30</v>
      </c>
      <c r="E33">
        <f>C33/100</f>
        <v>3.0314999999999999</v>
      </c>
      <c r="F33">
        <f>LN(E33)</f>
        <v>1.1090575465296484</v>
      </c>
      <c r="G33">
        <v>5.41</v>
      </c>
      <c r="H33">
        <v>1E-4</v>
      </c>
      <c r="I33">
        <f>H33*G33</f>
        <v>5.4100000000000003E-4</v>
      </c>
      <c r="N33">
        <f>LN(I33)</f>
        <v>-7.5220912791177925</v>
      </c>
      <c r="O33">
        <f>J33+(K33/E33)+L33*F33</f>
        <v>0</v>
      </c>
    </row>
    <row r="34" spans="3:15" x14ac:dyDescent="0.25">
      <c r="C34">
        <v>308.14999999999998</v>
      </c>
      <c r="D34">
        <f>C34-273.15</f>
        <v>35</v>
      </c>
      <c r="E34">
        <f>C34/100</f>
        <v>3.0814999999999997</v>
      </c>
      <c r="F34">
        <f>LN(E34)</f>
        <v>1.1254164914201608</v>
      </c>
      <c r="G34">
        <v>4.8</v>
      </c>
      <c r="H34">
        <v>1E-4</v>
      </c>
      <c r="I34">
        <f>H34*G34</f>
        <v>4.8000000000000001E-4</v>
      </c>
      <c r="N34">
        <f>LN(I34)</f>
        <v>-7.641724454062337</v>
      </c>
      <c r="O34">
        <f>J34+(K34/E34)+L34*F34</f>
        <v>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N2 REchner</vt:lpstr>
      <vt:lpstr>TGP Tabelle</vt:lpstr>
      <vt:lpstr>Tools=&gt;</vt:lpstr>
      <vt:lpstr>solublity of gases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Solt Sokoray</dc:creator>
  <cp:lastModifiedBy>Solt Sokoray</cp:lastModifiedBy>
  <dcterms:created xsi:type="dcterms:W3CDTF">2019-01-29T11:43:08Z</dcterms:created>
  <dcterms:modified xsi:type="dcterms:W3CDTF">2019-02-16T08:15:39Z</dcterms:modified>
</cp:coreProperties>
</file>