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2345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C14" i="1" l="1"/>
  <c r="C13" i="1"/>
  <c r="C15" i="1" l="1"/>
  <c r="C16" i="1" s="1"/>
  <c r="C18" i="1"/>
  <c r="E18" i="1" s="1"/>
  <c r="C17" i="1"/>
  <c r="E17" i="1" s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5" i="2"/>
  <c r="E14" i="1"/>
  <c r="E13" i="1"/>
  <c r="E5" i="1"/>
  <c r="E4" i="1"/>
  <c r="K7" i="1"/>
  <c r="C7" i="1" s="1"/>
  <c r="K6" i="1"/>
  <c r="C6" i="1" s="1"/>
  <c r="N6" i="1" s="1"/>
  <c r="C21" i="1" s="1"/>
  <c r="N7" i="1" l="1"/>
  <c r="C22" i="1" s="1"/>
  <c r="C27" i="1"/>
  <c r="C8" i="1"/>
  <c r="C9" i="1" s="1"/>
  <c r="C10" i="1" s="1"/>
  <c r="C11" i="1" s="1"/>
  <c r="C23" i="1"/>
  <c r="C24" i="1" s="1"/>
  <c r="E24" i="1" s="1"/>
  <c r="C25" i="1" l="1"/>
  <c r="C26" i="1" s="1"/>
  <c r="C28" i="1" s="1"/>
  <c r="C29" i="1" s="1"/>
</calcChain>
</file>

<file path=xl/sharedStrings.xml><?xml version="1.0" encoding="utf-8"?>
<sst xmlns="http://schemas.openxmlformats.org/spreadsheetml/2006/main" count="75" uniqueCount="46">
  <si>
    <t>Thermos vacuum pressure</t>
  </si>
  <si>
    <t>See https://www.physicsforums.com/threads/sealed-bottle-physics.1056341/#post-6940749</t>
  </si>
  <si>
    <t>°C</t>
  </si>
  <si>
    <t>mmHg</t>
  </si>
  <si>
    <r>
      <t xml:space="preserve">Equilibrium vapor pressure of water at temperature </t>
    </r>
    <r>
      <rPr>
        <sz val="10"/>
        <color theme="1"/>
        <rFont val="Arial Unicode MS"/>
        <family val="2"/>
      </rPr>
      <t>1</t>
    </r>
  </si>
  <si>
    <t>Pa</t>
  </si>
  <si>
    <t>Partial pressure of the air</t>
  </si>
  <si>
    <t>Partial pressure of air in cooled sealed container</t>
  </si>
  <si>
    <t>Total pressure in the quenched container</t>
  </si>
  <si>
    <t>% of atm</t>
  </si>
  <si>
    <t>K</t>
  </si>
  <si>
    <t>L</t>
  </si>
  <si>
    <t>m^3</t>
  </si>
  <si>
    <t>VL(Th)</t>
  </si>
  <si>
    <t>Temperature</t>
  </si>
  <si>
    <t>Specific volume     (0-100°C at 1 atm, &gt;100 °C at saturation pressure)</t>
  </si>
  <si>
    <t>[°C]</t>
  </si>
  <si>
    <t>[cm3/g]</t>
  </si>
  <si>
    <t>diff</t>
  </si>
  <si>
    <t>cm^3/g</t>
  </si>
  <si>
    <t>m^3/kg</t>
  </si>
  <si>
    <t>VL(Tc)</t>
  </si>
  <si>
    <t>Uv(Th)</t>
  </si>
  <si>
    <t>bar</t>
  </si>
  <si>
    <t>kg</t>
  </si>
  <si>
    <t>Uv(Tc)</t>
  </si>
  <si>
    <t>x (mass fraction vapor in final state)</t>
  </si>
  <si>
    <t>Volume of gas phase in final cold state</t>
  </si>
  <si>
    <t>m Mass of water in can</t>
  </si>
  <si>
    <t>Partial pressure of air in final state</t>
  </si>
  <si>
    <t>P*Th  Water vapor partial pressure1</t>
  </si>
  <si>
    <t>Partial pressure of water vapor in final state</t>
  </si>
  <si>
    <t>Patm Atmospheric pressure</t>
  </si>
  <si>
    <t>Th Temperature start</t>
  </si>
  <si>
    <t>Tc Temperature after cooling in sealed container</t>
  </si>
  <si>
    <t>V Volume of flask</t>
  </si>
  <si>
    <t>v Volume of head space at initial temperature</t>
  </si>
  <si>
    <t>Volume of liquid in flask</t>
  </si>
  <si>
    <t>%</t>
  </si>
  <si>
    <r>
      <t xml:space="preserve">Equilibrium vapor pressure of water at temperature </t>
    </r>
    <r>
      <rPr>
        <sz val="10"/>
        <color theme="1"/>
        <rFont val="Arial Unicode MS"/>
        <family val="2"/>
      </rPr>
      <t>2</t>
    </r>
  </si>
  <si>
    <t>P*Tc  Water vapor partial pressure2</t>
  </si>
  <si>
    <t>Rough answer when not taking condensation into account</t>
  </si>
  <si>
    <t>Using an appoximate formula</t>
  </si>
  <si>
    <t>So greatest vacuum is achieved when the flask is almost full of water.</t>
  </si>
  <si>
    <t>*Green fields are where user data is entered</t>
  </si>
  <si>
    <t>Percent liquid in flask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</si>
</sst>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9" formatCode="0.0000"/>
    <numFmt numFmtId="170" formatCode="0.000"/>
    <numFmt numFmtId="171" formatCode="0.00000"/>
    <numFmt numFmtId="176" formatCode="0.000E+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64" fontId="2" fillId="0" borderId="0" xfId="0" applyNumberFormat="1" applyFont="1" applyBorder="1"/>
    <xf numFmtId="3" fontId="0" fillId="0" borderId="0" xfId="0" applyNumberFormat="1"/>
    <xf numFmtId="170" fontId="0" fillId="0" borderId="0" xfId="0" applyNumberFormat="1"/>
    <xf numFmtId="0" fontId="0" fillId="0" borderId="0" xfId="0" applyBorder="1"/>
    <xf numFmtId="176" fontId="0" fillId="0" borderId="0" xfId="0" applyNumberFormat="1"/>
    <xf numFmtId="0" fontId="3" fillId="0" borderId="0" xfId="0" applyFont="1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3" fillId="0" borderId="3" xfId="0" applyFont="1" applyBorder="1"/>
    <xf numFmtId="0" fontId="0" fillId="0" borderId="5" xfId="0" applyBorder="1"/>
    <xf numFmtId="0" fontId="0" fillId="2" borderId="2" xfId="0" applyFill="1" applyBorder="1"/>
    <xf numFmtId="0" fontId="0" fillId="2" borderId="4" xfId="0" applyFill="1" applyBorder="1"/>
    <xf numFmtId="3" fontId="0" fillId="0" borderId="4" xfId="0" applyNumberFormat="1" applyBorder="1"/>
    <xf numFmtId="3" fontId="3" fillId="0" borderId="4" xfId="0" applyNumberFormat="1" applyFont="1" applyBorder="1"/>
    <xf numFmtId="164" fontId="3" fillId="0" borderId="4" xfId="0" applyNumberFormat="1" applyFont="1" applyBorder="1"/>
    <xf numFmtId="0" fontId="0" fillId="0" borderId="4" xfId="0" applyFill="1" applyBorder="1"/>
    <xf numFmtId="2" fontId="0" fillId="0" borderId="4" xfId="0" applyNumberFormat="1" applyBorder="1"/>
    <xf numFmtId="3" fontId="0" fillId="2" borderId="4" xfId="0" applyNumberFormat="1" applyFill="1" applyBorder="1"/>
    <xf numFmtId="171" fontId="0" fillId="0" borderId="4" xfId="0" applyNumberFormat="1" applyBorder="1"/>
    <xf numFmtId="176" fontId="0" fillId="0" borderId="4" xfId="0" applyNumberFormat="1" applyBorder="1"/>
    <xf numFmtId="169" fontId="0" fillId="0" borderId="4" xfId="0" applyNumberFormat="1" applyBorder="1"/>
    <xf numFmtId="164" fontId="1" fillId="0" borderId="6" xfId="0" applyNumberFormat="1" applyFont="1" applyBorder="1"/>
    <xf numFmtId="170" fontId="0" fillId="0" borderId="4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trendline>
            <c:trendlineType val="poly"/>
            <c:order val="3"/>
            <c:dispRSqr val="1"/>
            <c:dispEq val="1"/>
            <c:trendlineLbl>
              <c:layout/>
              <c:numFmt formatCode="General" sourceLinked="0"/>
            </c:trendlineLbl>
          </c:trendline>
          <c:xVal>
            <c:numRef>
              <c:f>Sheet2!$C$5:$C$40</c:f>
              <c:numCache>
                <c:formatCode>General</c:formatCode>
                <c:ptCount val="36"/>
                <c:pt idx="0">
                  <c:v>0.1</c:v>
                </c:pt>
                <c:pt idx="1">
                  <c:v>1</c:v>
                </c:pt>
                <c:pt idx="2">
                  <c:v>4</c:v>
                </c:pt>
                <c:pt idx="3">
                  <c:v>10</c:v>
                </c:pt>
                <c:pt idx="4">
                  <c:v>15</c:v>
                </c:pt>
                <c:pt idx="5">
                  <c:v>20</c:v>
                </c:pt>
                <c:pt idx="6">
                  <c:v>25</c:v>
                </c:pt>
                <c:pt idx="7">
                  <c:v>30</c:v>
                </c:pt>
                <c:pt idx="8">
                  <c:v>35</c:v>
                </c:pt>
                <c:pt idx="9">
                  <c:v>40</c:v>
                </c:pt>
                <c:pt idx="10">
                  <c:v>45</c:v>
                </c:pt>
                <c:pt idx="11">
                  <c:v>50</c:v>
                </c:pt>
                <c:pt idx="12">
                  <c:v>55</c:v>
                </c:pt>
                <c:pt idx="13">
                  <c:v>60</c:v>
                </c:pt>
                <c:pt idx="14">
                  <c:v>65</c:v>
                </c:pt>
                <c:pt idx="15">
                  <c:v>70</c:v>
                </c:pt>
                <c:pt idx="16">
                  <c:v>75</c:v>
                </c:pt>
                <c:pt idx="17">
                  <c:v>80</c:v>
                </c:pt>
                <c:pt idx="18">
                  <c:v>85</c:v>
                </c:pt>
                <c:pt idx="19">
                  <c:v>90</c:v>
                </c:pt>
                <c:pt idx="20">
                  <c:v>95</c:v>
                </c:pt>
                <c:pt idx="21">
                  <c:v>100</c:v>
                </c:pt>
              </c:numCache>
            </c:numRef>
          </c:xVal>
          <c:yVal>
            <c:numRef>
              <c:f>Sheet2!$D$5:$D$40</c:f>
              <c:numCache>
                <c:formatCode>General</c:formatCode>
                <c:ptCount val="36"/>
                <c:pt idx="0">
                  <c:v>1.0001500000000001</c:v>
                </c:pt>
                <c:pt idx="1">
                  <c:v>1.0001</c:v>
                </c:pt>
                <c:pt idx="2">
                  <c:v>1.00003</c:v>
                </c:pt>
                <c:pt idx="3">
                  <c:v>1.0003</c:v>
                </c:pt>
                <c:pt idx="4">
                  <c:v>1.0008999999999999</c:v>
                </c:pt>
                <c:pt idx="5">
                  <c:v>1.0018</c:v>
                </c:pt>
                <c:pt idx="6">
                  <c:v>1.0029600000000001</c:v>
                </c:pt>
                <c:pt idx="7">
                  <c:v>1.00437</c:v>
                </c:pt>
                <c:pt idx="8">
                  <c:v>1.006</c:v>
                </c:pt>
                <c:pt idx="9">
                  <c:v>1.0078499999999999</c:v>
                </c:pt>
                <c:pt idx="10">
                  <c:v>1.00989</c:v>
                </c:pt>
                <c:pt idx="11">
                  <c:v>1.0121</c:v>
                </c:pt>
                <c:pt idx="12">
                  <c:v>1.0145200000000001</c:v>
                </c:pt>
                <c:pt idx="13">
                  <c:v>1.01709</c:v>
                </c:pt>
                <c:pt idx="14">
                  <c:v>1.0198400000000001</c:v>
                </c:pt>
                <c:pt idx="15">
                  <c:v>1.02275</c:v>
                </c:pt>
                <c:pt idx="16">
                  <c:v>1.0258100000000001</c:v>
                </c:pt>
                <c:pt idx="17">
                  <c:v>1.0290299999999999</c:v>
                </c:pt>
                <c:pt idx="18">
                  <c:v>1.03241</c:v>
                </c:pt>
                <c:pt idx="19">
                  <c:v>1.0359400000000001</c:v>
                </c:pt>
                <c:pt idx="20">
                  <c:v>1.03962</c:v>
                </c:pt>
                <c:pt idx="21">
                  <c:v>1.0434600000000001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659904"/>
        <c:axId val="225658368"/>
      </c:scatterChart>
      <c:valAx>
        <c:axId val="225659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25658368"/>
        <c:crosses val="autoZero"/>
        <c:crossBetween val="midCat"/>
      </c:valAx>
      <c:valAx>
        <c:axId val="2256583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565990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28</xdr:row>
      <xdr:rowOff>19050</xdr:rowOff>
    </xdr:from>
    <xdr:to>
      <xdr:col>18</xdr:col>
      <xdr:colOff>361950</xdr:colOff>
      <xdr:row>42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4"/>
  <sheetViews>
    <sheetView tabSelected="1" workbookViewId="0">
      <selection activeCell="E28" sqref="E28"/>
    </sheetView>
  </sheetViews>
  <sheetFormatPr defaultRowHeight="15" x14ac:dyDescent="0.25"/>
  <cols>
    <col min="2" max="2" width="55" customWidth="1"/>
    <col min="3" max="3" width="12" bestFit="1" customWidth="1"/>
    <col min="5" max="5" width="9.5703125" bestFit="1" customWidth="1"/>
    <col min="9" max="9" width="9.5703125" bestFit="1" customWidth="1"/>
  </cols>
  <sheetData>
    <row r="1" spans="2:17" x14ac:dyDescent="0.25">
      <c r="B1" s="1" t="s">
        <v>0</v>
      </c>
      <c r="C1" t="s">
        <v>1</v>
      </c>
    </row>
    <row r="4" spans="2:17" x14ac:dyDescent="0.25">
      <c r="B4" s="8" t="s">
        <v>33</v>
      </c>
      <c r="C4" s="13">
        <v>90</v>
      </c>
      <c r="D4" s="5" t="s">
        <v>2</v>
      </c>
      <c r="E4">
        <f>C4+273</f>
        <v>363</v>
      </c>
      <c r="F4" t="s">
        <v>10</v>
      </c>
    </row>
    <row r="5" spans="2:17" x14ac:dyDescent="0.25">
      <c r="B5" s="9" t="s">
        <v>34</v>
      </c>
      <c r="C5" s="14">
        <v>15</v>
      </c>
      <c r="D5" s="5" t="s">
        <v>2</v>
      </c>
      <c r="E5">
        <f>C5+273</f>
        <v>288</v>
      </c>
      <c r="F5" t="s">
        <v>10</v>
      </c>
    </row>
    <row r="6" spans="2:17" ht="15.75" x14ac:dyDescent="0.3">
      <c r="B6" s="9" t="s">
        <v>30</v>
      </c>
      <c r="C6" s="15">
        <f>K6*133.322</f>
        <v>68942.369365419887</v>
      </c>
      <c r="D6" s="5" t="s">
        <v>5</v>
      </c>
      <c r="E6" t="s">
        <v>4</v>
      </c>
      <c r="K6" s="2">
        <f>EXP(20.386 - 5132 / (C4+273))</f>
        <v>517.11172473725185</v>
      </c>
      <c r="L6" s="5" t="s">
        <v>3</v>
      </c>
      <c r="N6" s="4">
        <f>C6*0.00001</f>
        <v>0.68942369365419898</v>
      </c>
      <c r="O6" t="s">
        <v>23</v>
      </c>
      <c r="Q6" t="s">
        <v>42</v>
      </c>
    </row>
    <row r="7" spans="2:17" ht="15.75" x14ac:dyDescent="0.3">
      <c r="B7" s="9" t="s">
        <v>40</v>
      </c>
      <c r="C7" s="15">
        <f>K7*133.322</f>
        <v>1735.9720769465453</v>
      </c>
      <c r="D7" s="5" t="s">
        <v>5</v>
      </c>
      <c r="E7" t="s">
        <v>39</v>
      </c>
      <c r="K7" s="2">
        <f>EXP(20.386 - 5132 / (C5+273))</f>
        <v>13.020897353374126</v>
      </c>
      <c r="L7" s="5" t="s">
        <v>3</v>
      </c>
      <c r="N7" s="4">
        <f>C7*0.00001</f>
        <v>1.7359720769465455E-2</v>
      </c>
      <c r="O7" t="s">
        <v>23</v>
      </c>
      <c r="Q7" t="s">
        <v>42</v>
      </c>
    </row>
    <row r="8" spans="2:17" x14ac:dyDescent="0.25">
      <c r="B8" s="11" t="s">
        <v>6</v>
      </c>
      <c r="C8" s="16">
        <f>C19-C6</f>
        <v>31457.630634580113</v>
      </c>
      <c r="D8" s="7" t="s">
        <v>5</v>
      </c>
      <c r="E8" t="s">
        <v>41</v>
      </c>
    </row>
    <row r="9" spans="2:17" x14ac:dyDescent="0.25">
      <c r="B9" s="11" t="s">
        <v>7</v>
      </c>
      <c r="C9" s="16">
        <f>C8*(273+C5)/(273+C4)</f>
        <v>24958.120172890005</v>
      </c>
      <c r="D9" s="7" t="s">
        <v>5</v>
      </c>
      <c r="E9" t="s">
        <v>41</v>
      </c>
    </row>
    <row r="10" spans="2:17" x14ac:dyDescent="0.25">
      <c r="B10" s="11" t="s">
        <v>8</v>
      </c>
      <c r="C10" s="16">
        <f>C9+C7</f>
        <v>26694.092249836551</v>
      </c>
      <c r="D10" s="7" t="s">
        <v>5</v>
      </c>
      <c r="E10" t="s">
        <v>41</v>
      </c>
    </row>
    <row r="11" spans="2:17" x14ac:dyDescent="0.25">
      <c r="B11" s="11"/>
      <c r="C11" s="17">
        <f>100*C10/C19</f>
        <v>26.58774128469776</v>
      </c>
      <c r="D11" s="7" t="s">
        <v>9</v>
      </c>
      <c r="E11" t="s">
        <v>41</v>
      </c>
    </row>
    <row r="12" spans="2:17" x14ac:dyDescent="0.25">
      <c r="B12" s="9"/>
      <c r="C12" s="10"/>
      <c r="D12" s="5"/>
    </row>
    <row r="13" spans="2:17" x14ac:dyDescent="0.25">
      <c r="B13" s="9" t="s">
        <v>35</v>
      </c>
      <c r="C13" s="14">
        <f>237.9/1000</f>
        <v>0.2379</v>
      </c>
      <c r="D13" s="5" t="s">
        <v>11</v>
      </c>
      <c r="E13">
        <f>C13/1000</f>
        <v>2.3790000000000001E-4</v>
      </c>
      <c r="F13" t="s">
        <v>12</v>
      </c>
    </row>
    <row r="14" spans="2:17" x14ac:dyDescent="0.25">
      <c r="B14" s="9" t="s">
        <v>36</v>
      </c>
      <c r="C14" s="14">
        <f>39.5/1000</f>
        <v>3.95E-2</v>
      </c>
      <c r="D14" s="5" t="s">
        <v>11</v>
      </c>
      <c r="E14">
        <f>C14/1000</f>
        <v>3.9499999999999998E-5</v>
      </c>
      <c r="F14" t="s">
        <v>12</v>
      </c>
    </row>
    <row r="15" spans="2:17" x14ac:dyDescent="0.25">
      <c r="B15" s="9" t="s">
        <v>37</v>
      </c>
      <c r="C15" s="18">
        <f>C13-C14</f>
        <v>0.19839999999999999</v>
      </c>
      <c r="D15" s="5" t="s">
        <v>11</v>
      </c>
    </row>
    <row r="16" spans="2:17" x14ac:dyDescent="0.25">
      <c r="B16" s="9" t="s">
        <v>45</v>
      </c>
      <c r="C16" s="25">
        <f>100*C15/C13</f>
        <v>83.396385035729296</v>
      </c>
      <c r="D16" s="5" t="s">
        <v>38</v>
      </c>
    </row>
    <row r="17" spans="2:11" x14ac:dyDescent="0.25">
      <c r="B17" s="9" t="s">
        <v>13</v>
      </c>
      <c r="C17" s="19">
        <f>-0.00000001*C4^3 + 0.000006*C4^2 - 0.00002*C4 + 1</f>
        <v>1.0395099999999999</v>
      </c>
      <c r="D17" s="5" t="s">
        <v>19</v>
      </c>
      <c r="E17">
        <f>C17/1000</f>
        <v>1.03951E-3</v>
      </c>
      <c r="F17" t="s">
        <v>20</v>
      </c>
      <c r="K17" t="s">
        <v>42</v>
      </c>
    </row>
    <row r="18" spans="2:11" x14ac:dyDescent="0.25">
      <c r="B18" s="9" t="s">
        <v>21</v>
      </c>
      <c r="C18" s="19">
        <f>-0.00000001*C5^3 + 0.000006*C5^2 - 0.00002*C5 + 1</f>
        <v>1.0010162499999999</v>
      </c>
      <c r="D18" s="5" t="s">
        <v>19</v>
      </c>
      <c r="E18">
        <f>C18/1000</f>
        <v>1.0010162499999998E-3</v>
      </c>
      <c r="F18" t="s">
        <v>20</v>
      </c>
      <c r="K18" t="s">
        <v>42</v>
      </c>
    </row>
    <row r="19" spans="2:11" x14ac:dyDescent="0.25">
      <c r="B19" s="9" t="s">
        <v>32</v>
      </c>
      <c r="C19" s="20">
        <v>100400</v>
      </c>
      <c r="D19" s="5" t="s">
        <v>5</v>
      </c>
    </row>
    <row r="20" spans="2:11" x14ac:dyDescent="0.25">
      <c r="B20" s="9"/>
      <c r="C20" s="10"/>
      <c r="D20" s="5"/>
    </row>
    <row r="21" spans="2:11" x14ac:dyDescent="0.25">
      <c r="B21" s="9" t="s">
        <v>22</v>
      </c>
      <c r="C21" s="19">
        <f>1.6888*N6^-0.942</f>
        <v>2.3973101011791997</v>
      </c>
      <c r="D21" s="5" t="s">
        <v>20</v>
      </c>
      <c r="K21" t="s">
        <v>42</v>
      </c>
    </row>
    <row r="22" spans="2:11" x14ac:dyDescent="0.25">
      <c r="B22" s="9" t="s">
        <v>25</v>
      </c>
      <c r="C22" s="19">
        <f>1.6888*N7^-0.942</f>
        <v>76.900464605196234</v>
      </c>
      <c r="D22" s="5" t="s">
        <v>20</v>
      </c>
      <c r="K22" t="s">
        <v>42</v>
      </c>
    </row>
    <row r="23" spans="2:11" x14ac:dyDescent="0.25">
      <c r="B23" s="9" t="s">
        <v>28</v>
      </c>
      <c r="C23" s="21">
        <f>(E13-E14)/E17+E14/C21</f>
        <v>0.19087563159447146</v>
      </c>
      <c r="D23" s="5" t="s">
        <v>24</v>
      </c>
    </row>
    <row r="24" spans="2:11" x14ac:dyDescent="0.25">
      <c r="B24" s="9" t="s">
        <v>26</v>
      </c>
      <c r="C24" s="22">
        <f>(E13/C23-E18)/(C22-E18)</f>
        <v>3.1904650150743653E-6</v>
      </c>
      <c r="D24" s="5"/>
      <c r="E24" s="6" t="str">
        <f>" 1 in " &amp; ROUND(1/C24,0)</f>
        <v xml:space="preserve"> 1 in 313434</v>
      </c>
    </row>
    <row r="25" spans="2:11" x14ac:dyDescent="0.25">
      <c r="B25" s="9" t="s">
        <v>27</v>
      </c>
      <c r="C25" s="23">
        <f>C23*C24*C22</f>
        <v>4.6831000645823509E-5</v>
      </c>
      <c r="D25" s="5" t="s">
        <v>12</v>
      </c>
    </row>
    <row r="26" spans="2:11" x14ac:dyDescent="0.25">
      <c r="B26" s="9" t="s">
        <v>29</v>
      </c>
      <c r="C26" s="15">
        <f>(C19-C6)*(E5/E4)*E14/C25</f>
        <v>21051.135641644145</v>
      </c>
      <c r="D26" s="5"/>
      <c r="J26" s="3"/>
    </row>
    <row r="27" spans="2:11" x14ac:dyDescent="0.25">
      <c r="B27" s="9" t="s">
        <v>31</v>
      </c>
      <c r="C27" s="15">
        <f>C7</f>
        <v>1735.9720769465453</v>
      </c>
      <c r="D27" s="5" t="s">
        <v>5</v>
      </c>
      <c r="I27" s="3"/>
    </row>
    <row r="28" spans="2:11" x14ac:dyDescent="0.25">
      <c r="B28" s="9" t="s">
        <v>8</v>
      </c>
      <c r="C28" s="15">
        <f>C27+C26</f>
        <v>22787.107718590691</v>
      </c>
      <c r="D28" s="5" t="s">
        <v>5</v>
      </c>
    </row>
    <row r="29" spans="2:11" x14ac:dyDescent="0.25">
      <c r="B29" s="12"/>
      <c r="C29" s="24">
        <f>100*C28/C19</f>
        <v>22.696322428875188</v>
      </c>
      <c r="D29" s="5" t="s">
        <v>9</v>
      </c>
    </row>
    <row r="32" spans="2:11" x14ac:dyDescent="0.25">
      <c r="B32" t="s">
        <v>44</v>
      </c>
    </row>
    <row r="34" spans="2:2" x14ac:dyDescent="0.25">
      <c r="B34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26"/>
  <sheetViews>
    <sheetView topLeftCell="A4" workbookViewId="0">
      <selection activeCell="F8" sqref="F8"/>
    </sheetView>
  </sheetViews>
  <sheetFormatPr defaultRowHeight="15" x14ac:dyDescent="0.25"/>
  <sheetData>
    <row r="3" spans="3:6" x14ac:dyDescent="0.25">
      <c r="C3" t="s">
        <v>14</v>
      </c>
      <c r="D3" t="s">
        <v>15</v>
      </c>
    </row>
    <row r="4" spans="3:6" x14ac:dyDescent="0.25">
      <c r="C4" t="s">
        <v>16</v>
      </c>
      <c r="D4" t="s">
        <v>17</v>
      </c>
      <c r="F4" t="s">
        <v>18</v>
      </c>
    </row>
    <row r="5" spans="3:6" x14ac:dyDescent="0.25">
      <c r="C5">
        <v>0.1</v>
      </c>
      <c r="D5">
        <v>1.0001500000000001</v>
      </c>
      <c r="E5">
        <f>-0.00000001*C5^3 + 0.000006*C5^2 - 0.00002*C5 + 1</f>
        <v>0.99999805999000002</v>
      </c>
      <c r="F5">
        <f>E5/D5</f>
        <v>0.9998480827775833</v>
      </c>
    </row>
    <row r="6" spans="3:6" x14ac:dyDescent="0.25">
      <c r="C6">
        <v>1</v>
      </c>
      <c r="D6">
        <v>1.0001</v>
      </c>
      <c r="E6">
        <f t="shared" ref="E6:E26" si="0">-0.00000001*C6^3 + 0.000006*C6^2 - 0.00002*C6 + 1</f>
        <v>0.99998598999999999</v>
      </c>
      <c r="F6">
        <f t="shared" ref="F6:F26" si="1">E6/D6</f>
        <v>0.99988600139986006</v>
      </c>
    </row>
    <row r="7" spans="3:6" x14ac:dyDescent="0.25">
      <c r="C7">
        <v>4</v>
      </c>
      <c r="D7">
        <v>1.00003</v>
      </c>
      <c r="E7">
        <f t="shared" si="0"/>
        <v>1.0000153599999999</v>
      </c>
      <c r="F7">
        <f t="shared" si="1"/>
        <v>0.99998536043918673</v>
      </c>
    </row>
    <row r="8" spans="3:6" x14ac:dyDescent="0.25">
      <c r="C8">
        <v>10</v>
      </c>
      <c r="D8">
        <v>1.0003</v>
      </c>
      <c r="E8">
        <f t="shared" si="0"/>
        <v>1.0003899999999999</v>
      </c>
      <c r="F8">
        <f t="shared" si="1"/>
        <v>1.0000899730080974</v>
      </c>
    </row>
    <row r="9" spans="3:6" x14ac:dyDescent="0.25">
      <c r="C9">
        <v>15</v>
      </c>
      <c r="D9">
        <v>1.0008999999999999</v>
      </c>
      <c r="E9">
        <f t="shared" si="0"/>
        <v>1.0010162499999999</v>
      </c>
      <c r="F9">
        <f t="shared" si="1"/>
        <v>1.0001161454690779</v>
      </c>
    </row>
    <row r="10" spans="3:6" x14ac:dyDescent="0.25">
      <c r="C10">
        <v>20</v>
      </c>
      <c r="D10">
        <v>1.0018</v>
      </c>
      <c r="E10">
        <f t="shared" si="0"/>
        <v>1.0019199999999999</v>
      </c>
      <c r="F10">
        <f t="shared" si="1"/>
        <v>1.0001197843881013</v>
      </c>
    </row>
    <row r="11" spans="3:6" x14ac:dyDescent="0.25">
      <c r="C11">
        <v>25</v>
      </c>
      <c r="D11">
        <v>1.0029600000000001</v>
      </c>
      <c r="E11">
        <f t="shared" si="0"/>
        <v>1.0030937499999999</v>
      </c>
      <c r="F11">
        <f t="shared" si="1"/>
        <v>1.0001333552684053</v>
      </c>
    </row>
    <row r="12" spans="3:6" x14ac:dyDescent="0.25">
      <c r="C12">
        <v>30</v>
      </c>
      <c r="D12">
        <v>1.00437</v>
      </c>
      <c r="E12">
        <f t="shared" si="0"/>
        <v>1.0045299999999999</v>
      </c>
      <c r="F12">
        <f t="shared" si="1"/>
        <v>1.0001593038422094</v>
      </c>
    </row>
    <row r="13" spans="3:6" x14ac:dyDescent="0.25">
      <c r="C13">
        <v>35</v>
      </c>
      <c r="D13">
        <v>1.006</v>
      </c>
      <c r="E13">
        <f t="shared" si="0"/>
        <v>1.0062212500000001</v>
      </c>
      <c r="F13">
        <f t="shared" si="1"/>
        <v>1.000219930417495</v>
      </c>
    </row>
    <row r="14" spans="3:6" x14ac:dyDescent="0.25">
      <c r="C14">
        <v>40</v>
      </c>
      <c r="D14">
        <v>1.0078499999999999</v>
      </c>
      <c r="E14">
        <f t="shared" si="0"/>
        <v>1.0081599999999999</v>
      </c>
      <c r="F14">
        <f t="shared" si="1"/>
        <v>1.0003075854541847</v>
      </c>
    </row>
    <row r="15" spans="3:6" x14ac:dyDescent="0.25">
      <c r="C15">
        <v>45</v>
      </c>
      <c r="D15">
        <v>1.00989</v>
      </c>
      <c r="E15">
        <f t="shared" si="0"/>
        <v>1.0103387500000001</v>
      </c>
      <c r="F15">
        <f t="shared" si="1"/>
        <v>1.0004443553258278</v>
      </c>
    </row>
    <row r="16" spans="3:6" x14ac:dyDescent="0.25">
      <c r="C16">
        <v>50</v>
      </c>
      <c r="D16">
        <v>1.0121</v>
      </c>
      <c r="E16">
        <f t="shared" si="0"/>
        <v>1.01275</v>
      </c>
      <c r="F16">
        <f t="shared" si="1"/>
        <v>1.0006422290287522</v>
      </c>
    </row>
    <row r="17" spans="3:6" x14ac:dyDescent="0.25">
      <c r="C17">
        <v>55</v>
      </c>
      <c r="D17">
        <v>1.0145200000000001</v>
      </c>
      <c r="E17">
        <f t="shared" si="0"/>
        <v>1.0153862499999999</v>
      </c>
      <c r="F17">
        <f t="shared" si="1"/>
        <v>1.0008538520679728</v>
      </c>
    </row>
    <row r="18" spans="3:6" x14ac:dyDescent="0.25">
      <c r="C18">
        <v>60</v>
      </c>
      <c r="D18">
        <v>1.01709</v>
      </c>
      <c r="E18">
        <f t="shared" si="0"/>
        <v>1.01824</v>
      </c>
      <c r="F18">
        <f t="shared" si="1"/>
        <v>1.0011306767346055</v>
      </c>
    </row>
    <row r="19" spans="3:6" x14ac:dyDescent="0.25">
      <c r="C19">
        <v>65</v>
      </c>
      <c r="D19">
        <v>1.0198400000000001</v>
      </c>
      <c r="E19">
        <f t="shared" si="0"/>
        <v>1.02130375</v>
      </c>
      <c r="F19">
        <f t="shared" si="1"/>
        <v>1.0014352741606525</v>
      </c>
    </row>
    <row r="20" spans="3:6" x14ac:dyDescent="0.25">
      <c r="C20">
        <v>70</v>
      </c>
      <c r="D20">
        <v>1.02275</v>
      </c>
      <c r="E20">
        <f t="shared" si="0"/>
        <v>1.02457</v>
      </c>
      <c r="F20">
        <f t="shared" si="1"/>
        <v>1.0017795160107552</v>
      </c>
    </row>
    <row r="21" spans="3:6" x14ac:dyDescent="0.25">
      <c r="C21">
        <v>75</v>
      </c>
      <c r="D21">
        <v>1.0258100000000001</v>
      </c>
      <c r="E21">
        <f t="shared" si="0"/>
        <v>1.02803125</v>
      </c>
      <c r="F21">
        <f t="shared" si="1"/>
        <v>1.0021653620066093</v>
      </c>
    </row>
    <row r="22" spans="3:6" x14ac:dyDescent="0.25">
      <c r="C22">
        <v>80</v>
      </c>
      <c r="D22">
        <v>1.0290299999999999</v>
      </c>
      <c r="E22">
        <f t="shared" si="0"/>
        <v>1.0316799999999999</v>
      </c>
      <c r="F22">
        <f t="shared" si="1"/>
        <v>1.0025752407607165</v>
      </c>
    </row>
    <row r="23" spans="3:6" x14ac:dyDescent="0.25">
      <c r="C23">
        <v>85</v>
      </c>
      <c r="D23">
        <v>1.03241</v>
      </c>
      <c r="E23">
        <f t="shared" si="0"/>
        <v>1.03550875</v>
      </c>
      <c r="F23">
        <f t="shared" si="1"/>
        <v>1.0030014722832983</v>
      </c>
    </row>
    <row r="24" spans="3:6" x14ac:dyDescent="0.25">
      <c r="C24">
        <v>90</v>
      </c>
      <c r="D24">
        <v>1.0359400000000001</v>
      </c>
      <c r="E24">
        <f t="shared" si="0"/>
        <v>1.0395099999999999</v>
      </c>
      <c r="F24">
        <f t="shared" si="1"/>
        <v>1.0034461455296637</v>
      </c>
    </row>
    <row r="25" spans="3:6" x14ac:dyDescent="0.25">
      <c r="C25">
        <v>95</v>
      </c>
      <c r="D25">
        <v>1.03962</v>
      </c>
      <c r="E25">
        <f t="shared" si="0"/>
        <v>1.0436762500000001</v>
      </c>
      <c r="F25">
        <f t="shared" si="1"/>
        <v>1.0039016659933437</v>
      </c>
    </row>
    <row r="26" spans="3:6" x14ac:dyDescent="0.25">
      <c r="C26">
        <v>100</v>
      </c>
      <c r="D26">
        <v>1.0434600000000001</v>
      </c>
      <c r="E26">
        <f t="shared" si="0"/>
        <v>1.048</v>
      </c>
      <c r="F26">
        <f t="shared" si="1"/>
        <v>1.0043509094742491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Riley</dc:creator>
  <cp:lastModifiedBy>Stephen Riley</cp:lastModifiedBy>
  <dcterms:created xsi:type="dcterms:W3CDTF">2023-10-11T10:48:52Z</dcterms:created>
  <dcterms:modified xsi:type="dcterms:W3CDTF">2023-10-11T16:19:15Z</dcterms:modified>
</cp:coreProperties>
</file>